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ate1904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19 FMI rapport cout complet energies/Synthèse sources,notes et tableurs PIBE/"/>
    </mc:Choice>
  </mc:AlternateContent>
  <xr:revisionPtr revIDLastSave="0" documentId="13_ncr:1_{8669C3CE-A15F-7A42-9BF6-41C221047B22}" xr6:coauthVersionLast="47" xr6:coauthVersionMax="47" xr10:uidLastSave="{00000000-0000-0000-0000-000000000000}"/>
  <bookViews>
    <workbookView xWindow="6120" yWindow="2240" windowWidth="37480" windowHeight="1568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95" i="1" l="1"/>
  <c r="B189" i="1"/>
  <c r="F244" i="1"/>
  <c r="F236" i="1"/>
  <c r="E149" i="1"/>
  <c r="E170" i="1" l="1"/>
  <c r="D170" i="1"/>
  <c r="G166" i="1"/>
  <c r="G165" i="1"/>
  <c r="E165" i="1"/>
  <c r="B163" i="1"/>
  <c r="D214" i="1" l="1"/>
  <c r="E215" i="1"/>
  <c r="D215" i="1"/>
  <c r="C36" i="1" l="1"/>
  <c r="E153" i="1"/>
  <c r="D32" i="1"/>
  <c r="C32" i="1"/>
  <c r="C33" i="1"/>
  <c r="B33" i="1"/>
  <c r="E33" i="1"/>
  <c r="H17" i="1" l="1"/>
  <c r="H117" i="1"/>
  <c r="H118" i="1" s="1"/>
  <c r="G123" i="1" s="1"/>
  <c r="C109" i="1"/>
  <c r="B109" i="1" s="1"/>
  <c r="B380" i="1"/>
  <c r="B10" i="1"/>
  <c r="C269" i="1"/>
  <c r="B379" i="1"/>
  <c r="B7" i="1" s="1"/>
  <c r="C285" i="1"/>
  <c r="C290" i="1"/>
  <c r="C293" i="1" s="1"/>
  <c r="C286" i="1"/>
  <c r="C291" i="1"/>
  <c r="C287" i="1"/>
  <c r="C292" i="1"/>
  <c r="C44" i="1"/>
  <c r="C45" i="1" s="1"/>
  <c r="B151" i="1"/>
  <c r="B110" i="1"/>
  <c r="B153" i="1"/>
  <c r="C55" i="1"/>
  <c r="C56" i="1"/>
  <c r="C57" i="1" s="1"/>
  <c r="C58" i="1" s="1"/>
  <c r="C8" i="1"/>
  <c r="C159" i="1" s="1"/>
  <c r="C62" i="1"/>
  <c r="C63" i="1" s="1"/>
  <c r="B63" i="1"/>
  <c r="B316" i="1"/>
  <c r="B315" i="1" s="1"/>
  <c r="E340" i="1"/>
  <c r="E348" i="1"/>
  <c r="E349" i="1" s="1"/>
  <c r="B75" i="1"/>
  <c r="B244" i="1"/>
  <c r="B247" i="1"/>
  <c r="B246" i="1"/>
  <c r="C151" i="1"/>
  <c r="C153" i="1" s="1"/>
  <c r="B302" i="1"/>
  <c r="C75" i="1" s="1"/>
  <c r="D144" i="1"/>
  <c r="D145" i="1"/>
  <c r="E144" i="1"/>
  <c r="E145" i="1" s="1"/>
  <c r="F144" i="1"/>
  <c r="F145" i="1"/>
  <c r="D269" i="1"/>
  <c r="E269" i="1"/>
  <c r="C271" i="1"/>
  <c r="D40" i="1" s="1"/>
  <c r="D41" i="1" s="1"/>
  <c r="D8" i="1"/>
  <c r="D147" i="1"/>
  <c r="D271" i="1"/>
  <c r="E40" i="1" s="1"/>
  <c r="E41" i="1" s="1"/>
  <c r="E147" i="1" s="1"/>
  <c r="E214" i="1" s="1"/>
  <c r="E8" i="1"/>
  <c r="F269" i="1"/>
  <c r="F271" i="1" s="1"/>
  <c r="F8" i="1"/>
  <c r="D290" i="1"/>
  <c r="D293" i="1" s="1"/>
  <c r="D44" i="1" s="1"/>
  <c r="D45" i="1" s="1"/>
  <c r="D149" i="1" s="1"/>
  <c r="D217" i="1" s="1"/>
  <c r="D291" i="1"/>
  <c r="D292" i="1"/>
  <c r="E290" i="1"/>
  <c r="E293" i="1" s="1"/>
  <c r="E44" i="1" s="1"/>
  <c r="E45" i="1" s="1"/>
  <c r="E217" i="1" s="1"/>
  <c r="E291" i="1"/>
  <c r="E292" i="1"/>
  <c r="F290" i="1"/>
  <c r="F293" i="1" s="1"/>
  <c r="F44" i="1" s="1"/>
  <c r="F45" i="1" s="1"/>
  <c r="F149" i="1" s="1"/>
  <c r="F217" i="1" s="1"/>
  <c r="F291" i="1"/>
  <c r="F292" i="1"/>
  <c r="D153" i="1"/>
  <c r="D220" i="1" s="1"/>
  <c r="F153" i="1"/>
  <c r="D55" i="1"/>
  <c r="D56" i="1"/>
  <c r="D57" i="1"/>
  <c r="E55" i="1"/>
  <c r="E58" i="1" s="1"/>
  <c r="E155" i="1" s="1"/>
  <c r="E223" i="1" s="1"/>
  <c r="E56" i="1"/>
  <c r="E57" i="1"/>
  <c r="F55" i="1"/>
  <c r="F56" i="1"/>
  <c r="F57" i="1"/>
  <c r="D63" i="1"/>
  <c r="D158" i="1" s="1"/>
  <c r="B318" i="1"/>
  <c r="D159" i="1" s="1"/>
  <c r="E344" i="1"/>
  <c r="E345" i="1" s="1"/>
  <c r="E63" i="1"/>
  <c r="E158" i="1" s="1"/>
  <c r="E160" i="1" s="1"/>
  <c r="E226" i="1" s="1"/>
  <c r="B319" i="1"/>
  <c r="E159" i="1" s="1"/>
  <c r="F344" i="1"/>
  <c r="F345" i="1" s="1"/>
  <c r="F63" i="1"/>
  <c r="F158" i="1" s="1"/>
  <c r="B320" i="1"/>
  <c r="F159" i="1" s="1"/>
  <c r="G344" i="1"/>
  <c r="G345" i="1" s="1"/>
  <c r="F75" i="1"/>
  <c r="I75" i="1"/>
  <c r="J75" i="1"/>
  <c r="K75" i="1"/>
  <c r="G75" i="1"/>
  <c r="H75" i="1"/>
  <c r="E75" i="1"/>
  <c r="D75" i="1"/>
  <c r="B35" i="1"/>
  <c r="B36" i="1" s="1"/>
  <c r="B37" i="1"/>
  <c r="C48" i="1"/>
  <c r="B48" i="1"/>
  <c r="B50" i="1" s="1"/>
  <c r="B51" i="1" s="1"/>
  <c r="C51" i="1" s="1"/>
  <c r="B12" i="1"/>
  <c r="C50" i="1"/>
  <c r="L302" i="1"/>
  <c r="K302" i="1"/>
  <c r="F306" i="1"/>
  <c r="H302" i="1"/>
  <c r="I302" i="1"/>
  <c r="J302" i="1"/>
  <c r="D302" i="1"/>
  <c r="E302" i="1"/>
  <c r="F302" i="1"/>
  <c r="G302" i="1"/>
  <c r="C302" i="1"/>
  <c r="I306" i="1"/>
  <c r="E301" i="1"/>
  <c r="D301" i="1"/>
  <c r="B301" i="1"/>
  <c r="H306" i="1"/>
  <c r="H310" i="1"/>
  <c r="I310" i="1" s="1"/>
  <c r="G310" i="1"/>
  <c r="I301" i="1"/>
  <c r="H301" i="1"/>
  <c r="D17" i="1"/>
  <c r="D21" i="1"/>
  <c r="B21" i="1" s="1"/>
  <c r="G144" i="1"/>
  <c r="G145" i="1"/>
  <c r="H144" i="1"/>
  <c r="H145" i="1" s="1"/>
  <c r="I35" i="1"/>
  <c r="I144" i="1"/>
  <c r="I145" i="1" s="1"/>
  <c r="G8" i="1"/>
  <c r="G271" i="1"/>
  <c r="H8" i="1"/>
  <c r="I8" i="1"/>
  <c r="G290" i="1"/>
  <c r="G291" i="1"/>
  <c r="G292" i="1"/>
  <c r="H290" i="1"/>
  <c r="H293" i="1" s="1"/>
  <c r="H291" i="1"/>
  <c r="H292" i="1"/>
  <c r="H44" i="1"/>
  <c r="H45" i="1" s="1"/>
  <c r="H149" i="1" s="1"/>
  <c r="H217" i="1" s="1"/>
  <c r="I290" i="1"/>
  <c r="I293" i="1" s="1"/>
  <c r="I44" i="1" s="1"/>
  <c r="I45" i="1" s="1"/>
  <c r="I149" i="1" s="1"/>
  <c r="I217" i="1" s="1"/>
  <c r="I291" i="1"/>
  <c r="I292" i="1"/>
  <c r="G153" i="1"/>
  <c r="H153" i="1"/>
  <c r="I153" i="1"/>
  <c r="G55" i="1"/>
  <c r="G58" i="1" s="1"/>
  <c r="G155" i="1" s="1"/>
  <c r="G223" i="1" s="1"/>
  <c r="G56" i="1"/>
  <c r="G57" i="1"/>
  <c r="H55" i="1"/>
  <c r="H58" i="1" s="1"/>
  <c r="H155" i="1" s="1"/>
  <c r="H223" i="1" s="1"/>
  <c r="H56" i="1"/>
  <c r="H57" i="1"/>
  <c r="I54" i="1"/>
  <c r="I58" i="1" s="1"/>
  <c r="I155" i="1" s="1"/>
  <c r="I223" i="1" s="1"/>
  <c r="I55" i="1"/>
  <c r="I56" i="1"/>
  <c r="I57" i="1" s="1"/>
  <c r="G63" i="1"/>
  <c r="G158" i="1"/>
  <c r="B321" i="1"/>
  <c r="G159" i="1"/>
  <c r="H344" i="1"/>
  <c r="H345" i="1"/>
  <c r="H63" i="1"/>
  <c r="H158" i="1"/>
  <c r="B322" i="1"/>
  <c r="H159" i="1"/>
  <c r="I344" i="1"/>
  <c r="I345" i="1"/>
  <c r="I63" i="1"/>
  <c r="I158" i="1"/>
  <c r="B324" i="1"/>
  <c r="I159" i="1"/>
  <c r="F340" i="1"/>
  <c r="F348" i="1"/>
  <c r="I184" i="1"/>
  <c r="I111" i="1"/>
  <c r="J35" i="1"/>
  <c r="J144" i="1"/>
  <c r="J145" i="1" s="1"/>
  <c r="J8" i="1"/>
  <c r="J57" i="1" s="1"/>
  <c r="J290" i="1"/>
  <c r="J291" i="1"/>
  <c r="J292" i="1"/>
  <c r="J293" i="1"/>
  <c r="J44" i="1" s="1"/>
  <c r="J151" i="1"/>
  <c r="J110" i="1"/>
  <c r="J54" i="1"/>
  <c r="J55" i="1"/>
  <c r="J56" i="1"/>
  <c r="J62" i="1"/>
  <c r="J63" i="1" s="1"/>
  <c r="J158" i="1"/>
  <c r="B325" i="1"/>
  <c r="J159" i="1"/>
  <c r="G340" i="1"/>
  <c r="G348" i="1"/>
  <c r="G349" i="1" s="1"/>
  <c r="J184" i="1"/>
  <c r="J111" i="1"/>
  <c r="K35" i="1"/>
  <c r="K109" i="1"/>
  <c r="K144" i="1"/>
  <c r="K145" i="1" s="1"/>
  <c r="K105" i="1"/>
  <c r="K107" i="1"/>
  <c r="K7" i="1"/>
  <c r="K8" i="1"/>
  <c r="K6" i="1"/>
  <c r="K151" i="1"/>
  <c r="K54" i="1"/>
  <c r="K55" i="1"/>
  <c r="K56" i="1"/>
  <c r="K57" i="1"/>
  <c r="K62" i="1"/>
  <c r="K63" i="1" s="1"/>
  <c r="K158" i="1" s="1"/>
  <c r="B326" i="1"/>
  <c r="K159" i="1"/>
  <c r="K160" i="1" s="1"/>
  <c r="K226" i="1" s="1"/>
  <c r="H340" i="1"/>
  <c r="H348" i="1"/>
  <c r="H349" i="1" s="1"/>
  <c r="K184" i="1"/>
  <c r="K111" i="1"/>
  <c r="C184" i="1"/>
  <c r="C111" i="1"/>
  <c r="D184" i="1"/>
  <c r="D111" i="1"/>
  <c r="E184" i="1"/>
  <c r="E111" i="1"/>
  <c r="F184" i="1"/>
  <c r="F111" i="1"/>
  <c r="G184" i="1"/>
  <c r="G111" i="1"/>
  <c r="H184" i="1"/>
  <c r="H111" i="1"/>
  <c r="B184" i="1"/>
  <c r="B111" i="1"/>
  <c r="C246" i="1"/>
  <c r="C244" i="1"/>
  <c r="C247" i="1"/>
  <c r="C249" i="1" s="1"/>
  <c r="C220" i="1"/>
  <c r="D246" i="1"/>
  <c r="D244" i="1"/>
  <c r="D247" i="1"/>
  <c r="D249" i="1" s="1"/>
  <c r="D210" i="1"/>
  <c r="D211" i="1" s="1"/>
  <c r="E246" i="1"/>
  <c r="E244" i="1"/>
  <c r="E247" i="1"/>
  <c r="E249" i="1" s="1"/>
  <c r="E210" i="1"/>
  <c r="E211" i="1" s="1"/>
  <c r="E220" i="1"/>
  <c r="F246" i="1"/>
  <c r="F247" i="1"/>
  <c r="F249" i="1" s="1"/>
  <c r="F210" i="1"/>
  <c r="F211" i="1" s="1"/>
  <c r="F220" i="1"/>
  <c r="G246" i="1"/>
  <c r="G244" i="1"/>
  <c r="G247" i="1"/>
  <c r="G249" i="1" s="1"/>
  <c r="G207" i="1"/>
  <c r="G210" i="1"/>
  <c r="G211" i="1" s="1"/>
  <c r="G220" i="1"/>
  <c r="H246" i="1"/>
  <c r="H244" i="1"/>
  <c r="H247" i="1"/>
  <c r="H249" i="1" s="1"/>
  <c r="H210" i="1"/>
  <c r="H211" i="1" s="1"/>
  <c r="H220" i="1"/>
  <c r="I246" i="1"/>
  <c r="I244" i="1"/>
  <c r="I247" i="1"/>
  <c r="I249" i="1" s="1"/>
  <c r="I210" i="1"/>
  <c r="I211" i="1" s="1"/>
  <c r="I220" i="1"/>
  <c r="J246" i="1"/>
  <c r="J244" i="1"/>
  <c r="J247" i="1"/>
  <c r="J249" i="1" s="1"/>
  <c r="J210" i="1"/>
  <c r="J211" i="1" s="1"/>
  <c r="K246" i="1"/>
  <c r="K244" i="1"/>
  <c r="K247" i="1"/>
  <c r="K249" i="1" s="1"/>
  <c r="K210" i="1"/>
  <c r="K211" i="1" s="1"/>
  <c r="B200" i="1"/>
  <c r="D140" i="1"/>
  <c r="E32" i="1"/>
  <c r="I140" i="1"/>
  <c r="J140" i="1"/>
  <c r="F140" i="1"/>
  <c r="G140" i="1"/>
  <c r="H140" i="1"/>
  <c r="E140" i="1"/>
  <c r="C140" i="1"/>
  <c r="E50" i="1"/>
  <c r="K32" i="1"/>
  <c r="J32" i="1"/>
  <c r="I32" i="1"/>
  <c r="H32" i="1"/>
  <c r="G32" i="1"/>
  <c r="F32" i="1"/>
  <c r="E339" i="1"/>
  <c r="E338" i="1"/>
  <c r="E337" i="1"/>
  <c r="E353" i="1"/>
  <c r="B398" i="1"/>
  <c r="C178" i="1"/>
  <c r="K178" i="1"/>
  <c r="J178" i="1"/>
  <c r="I178" i="1"/>
  <c r="H178" i="1"/>
  <c r="G178" i="1"/>
  <c r="D178" i="1"/>
  <c r="F178" i="1"/>
  <c r="E178" i="1"/>
  <c r="B178" i="1"/>
  <c r="M178" i="1"/>
  <c r="H50" i="1"/>
  <c r="D36" i="1"/>
  <c r="B106" i="1"/>
  <c r="B108" i="1"/>
  <c r="B90" i="1"/>
  <c r="B317" i="1"/>
  <c r="D65" i="1"/>
  <c r="D50" i="1"/>
  <c r="D51" i="1" s="1"/>
  <c r="E36" i="1"/>
  <c r="B11" i="1"/>
  <c r="E90" i="1"/>
  <c r="D70" i="1"/>
  <c r="D71" i="1" s="1"/>
  <c r="D90" i="1"/>
  <c r="C90" i="1"/>
  <c r="K90" i="1"/>
  <c r="K48" i="1"/>
  <c r="K12" i="1"/>
  <c r="G90" i="1"/>
  <c r="G50" i="1"/>
  <c r="H90" i="1"/>
  <c r="I90" i="1"/>
  <c r="I50" i="1"/>
  <c r="J90" i="1"/>
  <c r="J48" i="1"/>
  <c r="J12" i="1"/>
  <c r="F90" i="1"/>
  <c r="F50" i="1"/>
  <c r="F398" i="1"/>
  <c r="C398" i="1"/>
  <c r="D398" i="1"/>
  <c r="E398" i="1"/>
  <c r="K140" i="1"/>
  <c r="K398" i="1"/>
  <c r="K106" i="1"/>
  <c r="G398" i="1"/>
  <c r="H398" i="1"/>
  <c r="I398" i="1"/>
  <c r="J398" i="1"/>
  <c r="D128" i="1"/>
  <c r="D130" i="1"/>
  <c r="E128" i="1"/>
  <c r="H133" i="1"/>
  <c r="H137" i="1"/>
  <c r="E129" i="1" s="1"/>
  <c r="E130" i="1" s="1"/>
  <c r="E131" i="1" s="1"/>
  <c r="F128" i="1"/>
  <c r="F130" i="1"/>
  <c r="F131" i="1"/>
  <c r="B269" i="1"/>
  <c r="C53" i="1"/>
  <c r="Q8" i="1"/>
  <c r="P8" i="1"/>
  <c r="I266" i="1"/>
  <c r="B266" i="1"/>
  <c r="J282" i="1"/>
  <c r="I282" i="1"/>
  <c r="H282" i="1"/>
  <c r="G282" i="1"/>
  <c r="F282" i="1"/>
  <c r="E282" i="1"/>
  <c r="D282" i="1"/>
  <c r="C282" i="1"/>
  <c r="B274" i="1"/>
  <c r="D307" i="1"/>
  <c r="C307" i="1"/>
  <c r="D310" i="1"/>
  <c r="E310" i="1"/>
  <c r="F310" i="1"/>
  <c r="C310" i="1"/>
  <c r="J306" i="1"/>
  <c r="D306" i="1"/>
  <c r="E306" i="1"/>
  <c r="G306" i="1"/>
  <c r="C306" i="1"/>
  <c r="K301" i="1"/>
  <c r="K307" i="1"/>
  <c r="F301" i="1"/>
  <c r="F307" i="1" s="1"/>
  <c r="G301" i="1"/>
  <c r="G307" i="1"/>
  <c r="H307" i="1"/>
  <c r="I307" i="1"/>
  <c r="J301" i="1"/>
  <c r="J307" i="1"/>
  <c r="E307" i="1"/>
  <c r="K306" i="1"/>
  <c r="L306" i="1"/>
  <c r="L301" i="1"/>
  <c r="L307" i="1" s="1"/>
  <c r="J157" i="1"/>
  <c r="F339" i="1"/>
  <c r="G339" i="1"/>
  <c r="H339" i="1"/>
  <c r="F338" i="1"/>
  <c r="G338" i="1"/>
  <c r="H338" i="1"/>
  <c r="F337" i="1"/>
  <c r="G337" i="1"/>
  <c r="H337" i="1"/>
  <c r="D126" i="1"/>
  <c r="E126" i="1"/>
  <c r="F126" i="1"/>
  <c r="K39" i="1"/>
  <c r="K53" i="1"/>
  <c r="C21" i="1"/>
  <c r="C70" i="1" s="1"/>
  <c r="C71" i="1" s="1"/>
  <c r="G65" i="1"/>
  <c r="E65" i="1"/>
  <c r="F26" i="1"/>
  <c r="F28" i="1" s="1"/>
  <c r="F29" i="1" s="1"/>
  <c r="E26" i="1"/>
  <c r="E28" i="1" s="1"/>
  <c r="E29" i="1" s="1"/>
  <c r="D26" i="1"/>
  <c r="D28" i="1"/>
  <c r="K50" i="1"/>
  <c r="H65" i="1"/>
  <c r="H128" i="1"/>
  <c r="D117" i="1"/>
  <c r="D118" i="1" s="1"/>
  <c r="F65" i="1"/>
  <c r="K157" i="1"/>
  <c r="F36" i="1"/>
  <c r="J266" i="1"/>
  <c r="J65" i="1"/>
  <c r="E21" i="1"/>
  <c r="E70" i="1"/>
  <c r="E71" i="1"/>
  <c r="F21" i="1"/>
  <c r="H21" i="1"/>
  <c r="J21" i="1"/>
  <c r="G21" i="1"/>
  <c r="G70" i="1" s="1"/>
  <c r="G71" i="1" s="1"/>
  <c r="I21" i="1"/>
  <c r="I70" i="1" s="1"/>
  <c r="I71" i="1" s="1"/>
  <c r="K21" i="1"/>
  <c r="K70" i="1"/>
  <c r="K71" i="1"/>
  <c r="F70" i="1"/>
  <c r="F71" i="1" s="1"/>
  <c r="J70" i="1"/>
  <c r="J71" i="1" s="1"/>
  <c r="H70" i="1"/>
  <c r="H71" i="1" s="1"/>
  <c r="E51" i="1"/>
  <c r="F51" i="1" s="1"/>
  <c r="G51" i="1" s="1"/>
  <c r="H51" i="1" s="1"/>
  <c r="I51" i="1"/>
  <c r="H26" i="1"/>
  <c r="D33" i="1"/>
  <c r="K65" i="1"/>
  <c r="G36" i="1"/>
  <c r="H36" i="1"/>
  <c r="G232" i="1"/>
  <c r="B140" i="1"/>
  <c r="I36" i="1"/>
  <c r="J36" i="1"/>
  <c r="K36" i="1"/>
  <c r="D29" i="1" l="1"/>
  <c r="H29" i="1" s="1"/>
  <c r="H28" i="1"/>
  <c r="D131" i="1"/>
  <c r="H131" i="1" s="1"/>
  <c r="H130" i="1"/>
  <c r="O49" i="1"/>
  <c r="J50" i="1"/>
  <c r="K49" i="1"/>
  <c r="F349" i="1"/>
  <c r="I160" i="1" s="1"/>
  <c r="I226" i="1" s="1"/>
  <c r="I65" i="1"/>
  <c r="J51" i="1"/>
  <c r="K51" i="1" s="1"/>
  <c r="J45" i="1"/>
  <c r="J149" i="1" s="1"/>
  <c r="J217" i="1" s="1"/>
  <c r="K44" i="1"/>
  <c r="K45" i="1" s="1"/>
  <c r="K149" i="1" s="1"/>
  <c r="K217" i="1" s="1"/>
  <c r="C37" i="1"/>
  <c r="K58" i="1"/>
  <c r="K155" i="1" s="1"/>
  <c r="K223" i="1" s="1"/>
  <c r="J160" i="1"/>
  <c r="J226" i="1" s="1"/>
  <c r="B58" i="1"/>
  <c r="C155" i="1"/>
  <c r="C223" i="1" s="1"/>
  <c r="J153" i="1"/>
  <c r="J220" i="1" s="1"/>
  <c r="K110" i="1"/>
  <c r="K153" i="1" s="1"/>
  <c r="K220" i="1" s="1"/>
  <c r="B65" i="1"/>
  <c r="B66" i="1" s="1"/>
  <c r="J58" i="1"/>
  <c r="J155" i="1" s="1"/>
  <c r="J223" i="1" s="1"/>
  <c r="F160" i="1"/>
  <c r="F226" i="1" s="1"/>
  <c r="D58" i="1"/>
  <c r="D155" i="1" s="1"/>
  <c r="D223" i="1" s="1"/>
  <c r="C158" i="1"/>
  <c r="C160" i="1" s="1"/>
  <c r="C226" i="1" s="1"/>
  <c r="C65" i="1"/>
  <c r="H123" i="1"/>
  <c r="G160" i="1"/>
  <c r="G226" i="1" s="1"/>
  <c r="G293" i="1"/>
  <c r="G44" i="1" s="1"/>
  <c r="G45" i="1" s="1"/>
  <c r="G149" i="1" s="1"/>
  <c r="G217" i="1" s="1"/>
  <c r="F58" i="1"/>
  <c r="F155" i="1" s="1"/>
  <c r="F223" i="1" s="1"/>
  <c r="B154" i="1"/>
  <c r="C154" i="1" s="1"/>
  <c r="D154" i="1" s="1"/>
  <c r="E154" i="1" s="1"/>
  <c r="F154" i="1" s="1"/>
  <c r="G154" i="1" s="1"/>
  <c r="H154" i="1" s="1"/>
  <c r="I154" i="1" s="1"/>
  <c r="J154" i="1" s="1"/>
  <c r="K154" i="1" s="1"/>
  <c r="B220" i="1"/>
  <c r="B221" i="1" s="1"/>
  <c r="C221" i="1" s="1"/>
  <c r="D221" i="1" s="1"/>
  <c r="E221" i="1" s="1"/>
  <c r="F221" i="1" s="1"/>
  <c r="G221" i="1" s="1"/>
  <c r="H221" i="1" s="1"/>
  <c r="I221" i="1" s="1"/>
  <c r="C149" i="1"/>
  <c r="C217" i="1" s="1"/>
  <c r="B45" i="1"/>
  <c r="B70" i="1"/>
  <c r="B71" i="1" s="1"/>
  <c r="B72" i="1" s="1"/>
  <c r="C72" i="1" s="1"/>
  <c r="D72" i="1" s="1"/>
  <c r="E72" i="1" s="1"/>
  <c r="F72" i="1" s="1"/>
  <c r="G72" i="1" s="1"/>
  <c r="H72" i="1" s="1"/>
  <c r="I72" i="1" s="1"/>
  <c r="J72" i="1" s="1"/>
  <c r="K72" i="1" s="1"/>
  <c r="H160" i="1"/>
  <c r="H226" i="1" s="1"/>
  <c r="H40" i="1"/>
  <c r="H41" i="1" s="1"/>
  <c r="H147" i="1" s="1"/>
  <c r="H214" i="1" s="1"/>
  <c r="H271" i="1"/>
  <c r="D160" i="1"/>
  <c r="D226" i="1" s="1"/>
  <c r="E271" i="1"/>
  <c r="F40" i="1" s="1"/>
  <c r="F41" i="1" s="1"/>
  <c r="F147" i="1" s="1"/>
  <c r="F214" i="1" s="1"/>
  <c r="G40" i="1"/>
  <c r="G41" i="1" s="1"/>
  <c r="G147" i="1" s="1"/>
  <c r="G214" i="1" s="1"/>
  <c r="B249" i="1"/>
  <c r="B271" i="1"/>
  <c r="C40" i="1" s="1"/>
  <c r="B8" i="1"/>
  <c r="B159" i="1" s="1"/>
  <c r="B39" i="1"/>
  <c r="C144" i="1"/>
  <c r="C41" i="1" l="1"/>
  <c r="C147" i="1" s="1"/>
  <c r="C214" i="1" s="1"/>
  <c r="B40" i="1"/>
  <c r="B41" i="1" s="1"/>
  <c r="B46" i="1"/>
  <c r="C46" i="1" s="1"/>
  <c r="D46" i="1" s="1"/>
  <c r="E46" i="1" s="1"/>
  <c r="F46" i="1" s="1"/>
  <c r="G46" i="1" s="1"/>
  <c r="H46" i="1" s="1"/>
  <c r="I46" i="1" s="1"/>
  <c r="J46" i="1" s="1"/>
  <c r="K46" i="1" s="1"/>
  <c r="B149" i="1"/>
  <c r="B44" i="1"/>
  <c r="B59" i="1"/>
  <c r="B155" i="1"/>
  <c r="C145" i="1"/>
  <c r="C210" i="1"/>
  <c r="C211" i="1" s="1"/>
  <c r="B144" i="1"/>
  <c r="I40" i="1"/>
  <c r="I41" i="1" s="1"/>
  <c r="I147" i="1" s="1"/>
  <c r="I214" i="1" s="1"/>
  <c r="I271" i="1"/>
  <c r="C66" i="1"/>
  <c r="D37" i="1"/>
  <c r="F33" i="1"/>
  <c r="C123" i="1"/>
  <c r="D123" i="1"/>
  <c r="F123" i="1"/>
  <c r="E123" i="1"/>
  <c r="H165" i="1"/>
  <c r="H166" i="1" s="1"/>
  <c r="H232" i="1" s="1"/>
  <c r="I123" i="1"/>
  <c r="J123" i="1"/>
  <c r="K123" i="1"/>
  <c r="H207" i="1"/>
  <c r="J221" i="1"/>
  <c r="K221" i="1" s="1"/>
  <c r="B158" i="1"/>
  <c r="B160" i="1" s="1"/>
  <c r="D224" i="1"/>
  <c r="E224" i="1" s="1"/>
  <c r="F224" i="1" s="1"/>
  <c r="G224" i="1" s="1"/>
  <c r="H224" i="1" s="1"/>
  <c r="I224" i="1" s="1"/>
  <c r="J224" i="1" s="1"/>
  <c r="K224" i="1" s="1"/>
  <c r="B156" i="1" l="1"/>
  <c r="C156" i="1" s="1"/>
  <c r="D156" i="1" s="1"/>
  <c r="E156" i="1" s="1"/>
  <c r="F156" i="1" s="1"/>
  <c r="G156" i="1" s="1"/>
  <c r="H156" i="1" s="1"/>
  <c r="I156" i="1" s="1"/>
  <c r="J156" i="1" s="1"/>
  <c r="K156" i="1" s="1"/>
  <c r="B223" i="1"/>
  <c r="B224" i="1" s="1"/>
  <c r="C224" i="1" s="1"/>
  <c r="I165" i="1"/>
  <c r="I166" i="1" s="1"/>
  <c r="I232" i="1" s="1"/>
  <c r="I207" i="1"/>
  <c r="B141" i="1"/>
  <c r="B123" i="1"/>
  <c r="C165" i="1"/>
  <c r="C166" i="1" s="1"/>
  <c r="C232" i="1" s="1"/>
  <c r="C207" i="1"/>
  <c r="B145" i="1"/>
  <c r="B146" i="1" s="1"/>
  <c r="B210" i="1"/>
  <c r="B211" i="1" s="1"/>
  <c r="B212" i="1" s="1"/>
  <c r="C59" i="1"/>
  <c r="D59" i="1"/>
  <c r="E59" i="1" s="1"/>
  <c r="F59" i="1" s="1"/>
  <c r="G59" i="1" s="1"/>
  <c r="H59" i="1" s="1"/>
  <c r="I59" i="1" s="1"/>
  <c r="J59" i="1" s="1"/>
  <c r="K59" i="1" s="1"/>
  <c r="K165" i="1"/>
  <c r="K166" i="1" s="1"/>
  <c r="K232" i="1" s="1"/>
  <c r="K207" i="1"/>
  <c r="E207" i="1"/>
  <c r="E166" i="1"/>
  <c r="E232" i="1" s="1"/>
  <c r="D66" i="1"/>
  <c r="E66" i="1" s="1"/>
  <c r="F66" i="1" s="1"/>
  <c r="G66" i="1" s="1"/>
  <c r="H66" i="1" s="1"/>
  <c r="I66" i="1" s="1"/>
  <c r="J66" i="1" s="1"/>
  <c r="K66" i="1" s="1"/>
  <c r="I353" i="1" s="1"/>
  <c r="B147" i="1"/>
  <c r="B42" i="1"/>
  <c r="D165" i="1"/>
  <c r="D166" i="1" s="1"/>
  <c r="D232" i="1" s="1"/>
  <c r="D207" i="1"/>
  <c r="E37" i="1"/>
  <c r="B161" i="1"/>
  <c r="C161" i="1" s="1"/>
  <c r="D161" i="1" s="1"/>
  <c r="E161" i="1" s="1"/>
  <c r="F161" i="1" s="1"/>
  <c r="G161" i="1" s="1"/>
  <c r="H161" i="1" s="1"/>
  <c r="I161" i="1" s="1"/>
  <c r="J161" i="1" s="1"/>
  <c r="K161" i="1" s="1"/>
  <c r="B226" i="1"/>
  <c r="B227" i="1" s="1"/>
  <c r="C227" i="1" s="1"/>
  <c r="D227" i="1" s="1"/>
  <c r="E227" i="1" s="1"/>
  <c r="F227" i="1" s="1"/>
  <c r="G227" i="1" s="1"/>
  <c r="H227" i="1" s="1"/>
  <c r="I227" i="1" s="1"/>
  <c r="J227" i="1" s="1"/>
  <c r="K227" i="1" s="1"/>
  <c r="J165" i="1"/>
  <c r="J166" i="1" s="1"/>
  <c r="J232" i="1" s="1"/>
  <c r="J207" i="1"/>
  <c r="F165" i="1"/>
  <c r="F166" i="1" s="1"/>
  <c r="F232" i="1" s="1"/>
  <c r="F207" i="1"/>
  <c r="G33" i="1"/>
  <c r="J40" i="1"/>
  <c r="J41" i="1" s="1"/>
  <c r="J147" i="1" s="1"/>
  <c r="J214" i="1" s="1"/>
  <c r="J271" i="1"/>
  <c r="K40" i="1" s="1"/>
  <c r="K41" i="1" s="1"/>
  <c r="K147" i="1" s="1"/>
  <c r="K214" i="1" s="1"/>
  <c r="B150" i="1"/>
  <c r="C150" i="1" s="1"/>
  <c r="D150" i="1" s="1"/>
  <c r="E150" i="1" s="1"/>
  <c r="F150" i="1" s="1"/>
  <c r="G150" i="1" s="1"/>
  <c r="H150" i="1" s="1"/>
  <c r="I150" i="1" s="1"/>
  <c r="J150" i="1" s="1"/>
  <c r="K150" i="1" s="1"/>
  <c r="B217" i="1"/>
  <c r="B218" i="1" s="1"/>
  <c r="C218" i="1" s="1"/>
  <c r="D218" i="1" s="1"/>
  <c r="E218" i="1" s="1"/>
  <c r="F218" i="1" s="1"/>
  <c r="G218" i="1" s="1"/>
  <c r="H218" i="1" s="1"/>
  <c r="I218" i="1" s="1"/>
  <c r="J218" i="1" s="1"/>
  <c r="K218" i="1" s="1"/>
  <c r="F37" i="1" l="1"/>
  <c r="C42" i="1"/>
  <c r="B68" i="1"/>
  <c r="H33" i="1"/>
  <c r="B214" i="1"/>
  <c r="B215" i="1" s="1"/>
  <c r="C215" i="1" s="1"/>
  <c r="F215" i="1" s="1"/>
  <c r="G215" i="1" s="1"/>
  <c r="H215" i="1" s="1"/>
  <c r="I215" i="1" s="1"/>
  <c r="J215" i="1" s="1"/>
  <c r="K215" i="1" s="1"/>
  <c r="B148" i="1"/>
  <c r="C148" i="1" s="1"/>
  <c r="D148" i="1" s="1"/>
  <c r="E148" i="1" s="1"/>
  <c r="F148" i="1" s="1"/>
  <c r="G148" i="1" s="1"/>
  <c r="H148" i="1" s="1"/>
  <c r="I148" i="1" s="1"/>
  <c r="J148" i="1" s="1"/>
  <c r="K148" i="1" s="1"/>
  <c r="F353" i="1"/>
  <c r="G353" i="1" s="1"/>
  <c r="H353" i="1" s="1"/>
  <c r="C212" i="1"/>
  <c r="B207" i="1"/>
  <c r="B208" i="1" s="1"/>
  <c r="B165" i="1"/>
  <c r="B166" i="1" s="1"/>
  <c r="C146" i="1"/>
  <c r="C141" i="1"/>
  <c r="B76" i="1" l="1"/>
  <c r="B79" i="1" s="1"/>
  <c r="C163" i="1"/>
  <c r="C170" i="1" s="1"/>
  <c r="D146" i="1"/>
  <c r="D42" i="1"/>
  <c r="C68" i="1"/>
  <c r="B230" i="1"/>
  <c r="B236" i="1" s="1"/>
  <c r="C208" i="1"/>
  <c r="C230" i="1"/>
  <c r="C236" i="1" s="1"/>
  <c r="D212" i="1"/>
  <c r="C173" i="1"/>
  <c r="D141" i="1"/>
  <c r="B167" i="1"/>
  <c r="C167" i="1" s="1"/>
  <c r="D167" i="1" s="1"/>
  <c r="E167" i="1" s="1"/>
  <c r="F167" i="1" s="1"/>
  <c r="G167" i="1" s="1"/>
  <c r="H167" i="1" s="1"/>
  <c r="I167" i="1" s="1"/>
  <c r="J167" i="1" s="1"/>
  <c r="K167" i="1" s="1"/>
  <c r="B232" i="1"/>
  <c r="B233" i="1" s="1"/>
  <c r="C233" i="1" s="1"/>
  <c r="D233" i="1" s="1"/>
  <c r="E233" i="1" s="1"/>
  <c r="F233" i="1" s="1"/>
  <c r="G233" i="1" s="1"/>
  <c r="H233" i="1" s="1"/>
  <c r="I233" i="1" s="1"/>
  <c r="J233" i="1" s="1"/>
  <c r="K233" i="1" s="1"/>
  <c r="I33" i="1"/>
  <c r="G37" i="1"/>
  <c r="B96" i="1" l="1"/>
  <c r="B99" i="1" s="1"/>
  <c r="B98" i="1"/>
  <c r="B170" i="1"/>
  <c r="B173" i="1"/>
  <c r="E146" i="1"/>
  <c r="D163" i="1"/>
  <c r="H37" i="1"/>
  <c r="J33" i="1"/>
  <c r="E141" i="1"/>
  <c r="D173" i="1"/>
  <c r="C239" i="1"/>
  <c r="C254" i="1" s="1"/>
  <c r="D208" i="1"/>
  <c r="C76" i="1"/>
  <c r="C79" i="1"/>
  <c r="D230" i="1"/>
  <c r="D236" i="1" s="1"/>
  <c r="E212" i="1"/>
  <c r="C190" i="1"/>
  <c r="C189" i="1"/>
  <c r="B239" i="1"/>
  <c r="B254" i="1" s="1"/>
  <c r="E42" i="1"/>
  <c r="D68" i="1"/>
  <c r="D76" i="1" l="1"/>
  <c r="D79" i="1"/>
  <c r="C96" i="1"/>
  <c r="C99" i="1" s="1"/>
  <c r="C95" i="1"/>
  <c r="C98" i="1" s="1"/>
  <c r="F42" i="1"/>
  <c r="E68" i="1"/>
  <c r="I37" i="1"/>
  <c r="C194" i="1"/>
  <c r="C193" i="1"/>
  <c r="D190" i="1"/>
  <c r="D189" i="1"/>
  <c r="B190" i="1"/>
  <c r="C192" i="1"/>
  <c r="F141" i="1"/>
  <c r="B253" i="1"/>
  <c r="B256" i="1" s="1"/>
  <c r="B257" i="1"/>
  <c r="E230" i="1"/>
  <c r="E236" i="1" s="1"/>
  <c r="F212" i="1"/>
  <c r="D239" i="1"/>
  <c r="D254" i="1" s="1"/>
  <c r="E208" i="1"/>
  <c r="K33" i="1"/>
  <c r="C257" i="1"/>
  <c r="C253" i="1"/>
  <c r="C256" i="1" s="1"/>
  <c r="F146" i="1"/>
  <c r="E163" i="1"/>
  <c r="D95" i="1" l="1"/>
  <c r="D98" i="1" s="1"/>
  <c r="D96" i="1"/>
  <c r="D99" i="1" s="1"/>
  <c r="G141" i="1"/>
  <c r="B194" i="1"/>
  <c r="B193" i="1"/>
  <c r="D192" i="1"/>
  <c r="J37" i="1"/>
  <c r="D257" i="1"/>
  <c r="D253" i="1"/>
  <c r="D256" i="1" s="1"/>
  <c r="E76" i="1"/>
  <c r="E79" i="1" s="1"/>
  <c r="G146" i="1"/>
  <c r="F163" i="1"/>
  <c r="F170" i="1" s="1"/>
  <c r="F171" i="1" s="1"/>
  <c r="D237" i="1"/>
  <c r="C237" i="1" s="1"/>
  <c r="E237" i="1"/>
  <c r="E239" i="1"/>
  <c r="E254" i="1" s="1"/>
  <c r="F208" i="1"/>
  <c r="D194" i="1"/>
  <c r="D193" i="1"/>
  <c r="E171" i="1"/>
  <c r="D171" i="1"/>
  <c r="C171" i="1" s="1"/>
  <c r="B171" i="1" s="1"/>
  <c r="F230" i="1"/>
  <c r="F237" i="1" s="1"/>
  <c r="G212" i="1"/>
  <c r="E173" i="1"/>
  <c r="B192" i="1"/>
  <c r="G42" i="1"/>
  <c r="F68" i="1"/>
  <c r="E96" i="1" l="1"/>
  <c r="E99" i="1" s="1"/>
  <c r="E95" i="1"/>
  <c r="E98" i="1" s="1"/>
  <c r="F173" i="1"/>
  <c r="E190" i="1"/>
  <c r="E189" i="1"/>
  <c r="E77" i="1"/>
  <c r="D77" i="1"/>
  <c r="C77" i="1" s="1"/>
  <c r="B77" i="1" s="1"/>
  <c r="K37" i="1"/>
  <c r="F76" i="1"/>
  <c r="F77" i="1" s="1"/>
  <c r="F239" i="1"/>
  <c r="F254" i="1" s="1"/>
  <c r="G208" i="1"/>
  <c r="H42" i="1"/>
  <c r="G68" i="1"/>
  <c r="G230" i="1"/>
  <c r="G236" i="1" s="1"/>
  <c r="G237" i="1" s="1"/>
  <c r="H212" i="1"/>
  <c r="E257" i="1"/>
  <c r="E253" i="1"/>
  <c r="E256" i="1" s="1"/>
  <c r="H146" i="1"/>
  <c r="G163" i="1"/>
  <c r="G170" i="1" s="1"/>
  <c r="G171" i="1" s="1"/>
  <c r="H141" i="1"/>
  <c r="G173" i="1"/>
  <c r="G190" i="1" l="1"/>
  <c r="G189" i="1"/>
  <c r="G76" i="1"/>
  <c r="G77" i="1" s="1"/>
  <c r="F79" i="1"/>
  <c r="I141" i="1"/>
  <c r="I42" i="1"/>
  <c r="H68" i="1"/>
  <c r="F190" i="1"/>
  <c r="F189" i="1"/>
  <c r="H230" i="1"/>
  <c r="H236" i="1" s="1"/>
  <c r="H237" i="1" s="1"/>
  <c r="I212" i="1"/>
  <c r="G239" i="1"/>
  <c r="G254" i="1" s="1"/>
  <c r="H208" i="1"/>
  <c r="E194" i="1"/>
  <c r="E193" i="1"/>
  <c r="I146" i="1"/>
  <c r="H163" i="1"/>
  <c r="H170" i="1" s="1"/>
  <c r="H171" i="1" s="1"/>
  <c r="F257" i="1"/>
  <c r="F253" i="1"/>
  <c r="F256" i="1" s="1"/>
  <c r="E192" i="1"/>
  <c r="F96" i="1" l="1"/>
  <c r="F99" i="1" s="1"/>
  <c r="F95" i="1"/>
  <c r="F98" i="1" s="1"/>
  <c r="G257" i="1"/>
  <c r="G253" i="1"/>
  <c r="G256" i="1" s="1"/>
  <c r="H173" i="1"/>
  <c r="I230" i="1"/>
  <c r="I236" i="1" s="1"/>
  <c r="I237" i="1" s="1"/>
  <c r="J212" i="1"/>
  <c r="F192" i="1"/>
  <c r="J141" i="1"/>
  <c r="G194" i="1"/>
  <c r="G193" i="1"/>
  <c r="J146" i="1"/>
  <c r="I163" i="1"/>
  <c r="I170" i="1" s="1"/>
  <c r="I171" i="1" s="1"/>
  <c r="H76" i="1"/>
  <c r="H77" i="1" s="1"/>
  <c r="H239" i="1"/>
  <c r="H254" i="1" s="1"/>
  <c r="I208" i="1"/>
  <c r="F194" i="1"/>
  <c r="F193" i="1"/>
  <c r="J42" i="1"/>
  <c r="I68" i="1"/>
  <c r="G79" i="1"/>
  <c r="G192" i="1"/>
  <c r="H190" i="1" l="1"/>
  <c r="H189" i="1"/>
  <c r="K42" i="1"/>
  <c r="K68" i="1" s="1"/>
  <c r="J68" i="1"/>
  <c r="I239" i="1"/>
  <c r="I254" i="1" s="1"/>
  <c r="J208" i="1"/>
  <c r="I76" i="1"/>
  <c r="I77" i="1" s="1"/>
  <c r="H257" i="1"/>
  <c r="H253" i="1"/>
  <c r="H256" i="1" s="1"/>
  <c r="J163" i="1"/>
  <c r="J170" i="1" s="1"/>
  <c r="J171" i="1" s="1"/>
  <c r="K146" i="1"/>
  <c r="K163" i="1" s="1"/>
  <c r="K170" i="1" s="1"/>
  <c r="K141" i="1"/>
  <c r="J230" i="1"/>
  <c r="J236" i="1" s="1"/>
  <c r="J237" i="1" s="1"/>
  <c r="K212" i="1"/>
  <c r="K230" i="1" s="1"/>
  <c r="K236" i="1" s="1"/>
  <c r="G96" i="1"/>
  <c r="G99" i="1" s="1"/>
  <c r="G95" i="1"/>
  <c r="G98" i="1" s="1"/>
  <c r="H79" i="1"/>
  <c r="I173" i="1"/>
  <c r="K76" i="1" l="1"/>
  <c r="K79" i="1"/>
  <c r="H96" i="1"/>
  <c r="H99" i="1" s="1"/>
  <c r="H95" i="1"/>
  <c r="H98" i="1" s="1"/>
  <c r="J173" i="1"/>
  <c r="J239" i="1"/>
  <c r="J254" i="1" s="1"/>
  <c r="K208" i="1"/>
  <c r="K239" i="1" s="1"/>
  <c r="K254" i="1" s="1"/>
  <c r="H194" i="1"/>
  <c r="H193" i="1"/>
  <c r="K173" i="1"/>
  <c r="I257" i="1"/>
  <c r="I253" i="1"/>
  <c r="I256" i="1" s="1"/>
  <c r="I190" i="1"/>
  <c r="I189" i="1"/>
  <c r="K237" i="1"/>
  <c r="K171" i="1"/>
  <c r="I79" i="1"/>
  <c r="J76" i="1"/>
  <c r="J77" i="1" s="1"/>
  <c r="J79" i="1"/>
  <c r="H192" i="1"/>
  <c r="I192" i="1" l="1"/>
  <c r="I194" i="1"/>
  <c r="I193" i="1"/>
  <c r="J257" i="1"/>
  <c r="J253" i="1"/>
  <c r="J256" i="1" s="1"/>
  <c r="I96" i="1"/>
  <c r="I99" i="1" s="1"/>
  <c r="I95" i="1"/>
  <c r="I98" i="1" s="1"/>
  <c r="K190" i="1"/>
  <c r="K189" i="1"/>
  <c r="K257" i="1"/>
  <c r="K253" i="1"/>
  <c r="K256" i="1" s="1"/>
  <c r="K96" i="1"/>
  <c r="K99" i="1" s="1"/>
  <c r="K95" i="1"/>
  <c r="K98" i="1" s="1"/>
  <c r="J96" i="1"/>
  <c r="J99" i="1" s="1"/>
  <c r="J95" i="1"/>
  <c r="J98" i="1" s="1"/>
  <c r="J189" i="1"/>
  <c r="J190" i="1"/>
  <c r="K77" i="1"/>
  <c r="J192" i="1" l="1"/>
  <c r="K194" i="1"/>
  <c r="K193" i="1"/>
  <c r="K192" i="1"/>
  <c r="J193" i="1"/>
  <c r="J194" i="1"/>
</calcChain>
</file>

<file path=xl/sharedStrings.xml><?xml version="1.0" encoding="utf-8"?>
<sst xmlns="http://schemas.openxmlformats.org/spreadsheetml/2006/main" count="438" uniqueCount="405">
  <si>
    <t>Source CPCNRS-fonteglobaleglaciers-Frweb</t>
    <phoneticPr fontId="20" type="noConversion"/>
  </si>
  <si>
    <t>Fonte en Giga  Tonnes/an</t>
    <phoneticPr fontId="20" type="noConversion"/>
  </si>
  <si>
    <t>Production dommages France année courante fresh ground water et fonte glaciers gigaeuros cf ci-dessous</t>
    <phoneticPr fontId="20" type="noConversion"/>
  </si>
  <si>
    <t>LES GAINS</t>
  </si>
  <si>
    <t>Dommages biodiversité France</t>
    <phoneticPr fontId="20" type="noConversion"/>
  </si>
  <si>
    <t>production de dommages année courante biodiversité en Meuros 2015</t>
    <phoneticPr fontId="20" type="noConversion"/>
  </si>
  <si>
    <t>France PIBE annuel = PIB (hors investissements) + gain - dommages en Geuros 2015</t>
    <phoneticPr fontId="20" type="noConversion"/>
  </si>
  <si>
    <t>Jouy le Moutier PIBE annuel = PIB + gain (hors investissements) - dommages en Meuros 2015</t>
    <phoneticPr fontId="20" type="noConversion"/>
  </si>
  <si>
    <t>stock actif conditions annuelles de bien-être/habitant (gains - dommages 1990) euros 2015</t>
    <phoneticPr fontId="20" type="noConversion"/>
  </si>
  <si>
    <t>Monde PIBE annuel =PIB (hors investissements) +gain -dommages en GUS$ 2015</t>
    <phoneticPr fontId="20" type="noConversion"/>
  </si>
  <si>
    <t>source tableur carbone à la commune 2019 agirlocal.org et population-emploi-revenu médian commune</t>
    <phoneticPr fontId="20" type="noConversion"/>
  </si>
  <si>
    <t xml:space="preserve">Production de dommages année courante par perte d'engrais en MEuros2015 à partir du gâchis de l'agriculture </t>
    <phoneticPr fontId="20" type="noConversion"/>
  </si>
  <si>
    <t>source R Geyer sciadv.1700782; 58% en 2014, 6% en 2050</t>
  </si>
  <si>
    <t xml:space="preserve">source statista le marché juteux des pesticides </t>
    <phoneticPr fontId="20" type="noConversion"/>
  </si>
  <si>
    <t>DONNEES PRINCIPALES</t>
    <phoneticPr fontId="20" type="noConversion"/>
  </si>
  <si>
    <t>DONNEES PRINCIPALES</t>
    <phoneticPr fontId="20" type="noConversion"/>
  </si>
  <si>
    <t>melange sources artificialisation</t>
  </si>
  <si>
    <t>sources FAO rapport  i3347e.pdf et UN https://www.unep.org/resources/report/unep-food-waste-index-report-2021</t>
  </si>
  <si>
    <t>%  gâchis agricole sur production agricole, en GT évalué en 2007 (lost &amp;waste)</t>
  </si>
  <si>
    <t>sous détail  éléments, total cumulé</t>
  </si>
  <si>
    <t>Source Banque mondiale https://donnees.banquemondiale.org/indicator/AG.LND.AGRI.K2 ; 2021-2025 extrapolation tendance 2012-2020 via PIB</t>
  </si>
  <si>
    <t>gain d'espérance de vie année courante depuis 1950, en années</t>
  </si>
  <si>
    <t>SEIF annuelle France en Giga euros constants 2015</t>
  </si>
  <si>
    <t>Production de dommages Jouy le Moutier année courante par déchets plastiques en Meuros 2015</t>
    <phoneticPr fontId="20" type="noConversion"/>
  </si>
  <si>
    <t>à proportion de la population plus l'emploi et du revenu médian JLM-France</t>
    <phoneticPr fontId="20" type="noConversion"/>
  </si>
  <si>
    <t>source tableur carbone 2019</t>
    <phoneticPr fontId="20" type="noConversion"/>
  </si>
  <si>
    <t>population</t>
    <phoneticPr fontId="20" type="noConversion"/>
  </si>
  <si>
    <t>Ile de France</t>
    <phoneticPr fontId="20" type="noConversion"/>
  </si>
  <si>
    <r>
      <t xml:space="preserve">stocks actif d'espérance de vie année n, depuis 1950, voir tableur espérance de vie </t>
    </r>
    <r>
      <rPr>
        <b/>
        <sz val="10"/>
        <rFont val="Verdana"/>
      </rPr>
      <t>Geuros 2015</t>
    </r>
    <r>
      <rPr>
        <b/>
        <sz val="10"/>
        <color indexed="10"/>
        <rFont val="Verdana"/>
        <family val="2"/>
      </rPr>
      <t xml:space="preserve"> </t>
    </r>
    <phoneticPr fontId="20" type="noConversion"/>
  </si>
  <si>
    <t>à partir des données monde à proportion du PIB et en geuros</t>
    <phoneticPr fontId="20" type="noConversion"/>
  </si>
  <si>
    <t>1968</t>
  </si>
  <si>
    <t>1969</t>
  </si>
  <si>
    <t>1970</t>
  </si>
  <si>
    <t>1971</t>
  </si>
  <si>
    <t>1972</t>
  </si>
  <si>
    <t>1973</t>
  </si>
  <si>
    <t>1974</t>
  </si>
  <si>
    <t xml:space="preserve">consommation  sous-sol interpolé 959 giga m3 en 2017 à proportion fgw 2015-2020 extrapolé au delà </t>
  </si>
  <si>
    <t>LES GAINS</t>
    <phoneticPr fontId="20" type="noConversion"/>
  </si>
  <si>
    <t xml:space="preserve">source Insee et tableur sauv pop-emp-rev med Jouy le moutier </t>
    <phoneticPr fontId="20" type="noConversion"/>
  </si>
  <si>
    <t>Test évolution des sources UN</t>
    <phoneticPr fontId="20" type="noConversion"/>
  </si>
  <si>
    <t>Sous-détail Population, emploi et revenu médian 2019</t>
    <phoneticPr fontId="20" type="noConversion"/>
  </si>
  <si>
    <t xml:space="preserve">annualisation Population, emploi et revenu médian annuel ; voir tableur pop-emp-rev med Jouy le moutier </t>
    <phoneticPr fontId="20" type="noConversion"/>
  </si>
  <si>
    <t>Sous détail Utcaf GHG</t>
    <phoneticPr fontId="20" type="noConversion"/>
  </si>
  <si>
    <t>SOUS_DETAIL 1950</t>
    <phoneticPr fontId="20" type="noConversion"/>
  </si>
  <si>
    <t>SAU mondiale en millions de km2</t>
    <phoneticPr fontId="20" type="noConversion"/>
  </si>
  <si>
    <t>source: ourworldindata.org/grapher/total-agricultural-area-over-the-long-term</t>
    <phoneticPr fontId="20" type="noConversion"/>
  </si>
  <si>
    <t>source : github.com/owid/co2-data</t>
    <phoneticPr fontId="20" type="noConversion"/>
  </si>
  <si>
    <t>surfaces artificialisée, source FAO, world land cover en millier d'ha 2020-2021 résolution 10m; pm</t>
  </si>
  <si>
    <t>source FA0,par pays, industrie agriculture services</t>
  </si>
  <si>
    <t>au prorata PIB France-Monde</t>
  </si>
  <si>
    <t>France fresh ground water Giga M3/an</t>
  </si>
  <si>
    <t>consommation  sous-sol en Giga M3/an</t>
  </si>
  <si>
    <t>Fonte annuelle glacier en Giga tonnes  cf détail ci-dessous</t>
  </si>
  <si>
    <t>SEIF annuellles Monde GigaUS$ constant 2015</t>
  </si>
  <si>
    <t>source INSEE, via  le tableur carbone à la commune: www.agirlocal.org/mode-calcul-emissions-co2e-a-la-commune/</t>
    <phoneticPr fontId="20" type="noConversion"/>
  </si>
  <si>
    <t>emploi</t>
    <phoneticPr fontId="20" type="noConversion"/>
  </si>
  <si>
    <t>population + emploi</t>
    <phoneticPr fontId="20" type="noConversion"/>
  </si>
  <si>
    <t>empreinte carbone 2019 MTCO2e</t>
    <phoneticPr fontId="20" type="noConversion"/>
  </si>
  <si>
    <t xml:space="preserve">O,165 </t>
    <phoneticPr fontId="20" type="noConversion"/>
  </si>
  <si>
    <t>LES GAINS</t>
    <phoneticPr fontId="20" type="noConversion"/>
  </si>
  <si>
    <t>LES DOMMAGES</t>
    <phoneticPr fontId="20" type="noConversion"/>
  </si>
  <si>
    <t>PRODUIT INTERIEUR DE BIEN-ÊTRE</t>
    <phoneticPr fontId="20" type="noConversion"/>
  </si>
  <si>
    <t>France</t>
    <phoneticPr fontId="20" type="noConversion"/>
  </si>
  <si>
    <t>LES DOMMAGES</t>
    <phoneticPr fontId="20" type="noConversion"/>
  </si>
  <si>
    <t>revenu médian</t>
    <phoneticPr fontId="20" type="noConversion"/>
  </si>
  <si>
    <t xml:space="preserve">source CCI-LC 1990,2021 et 2025 interpolé PIB; </t>
  </si>
  <si>
    <t>surfaces artificialisée, source FAO, CCILC en millier d'ha</t>
  </si>
  <si>
    <t>SAU mondiale en millions de km2</t>
  </si>
  <si>
    <t>surfaces artificialisée, source FAO, world land cover en millier d'ha 2020-2021 résolution 10m</t>
  </si>
  <si>
    <t>source Europe Plastic rapports; 1990 et 2025 extrapolés au prorata PIB</t>
  </si>
  <si>
    <t>PIB monde GUS$ courants</t>
  </si>
  <si>
    <t>coefficient change = moyenne 2010-2020 soit 1,258 US $ pour 1 euro</t>
  </si>
  <si>
    <t>source banque mondiale; extrapolation via croissance 2011-2019 pour 2025</t>
  </si>
  <si>
    <t>Source Statista 2018: 2008 à 2018, un an sur deux; puis interpolation ou extrapolation sauf 2021 FAO 43,2 GUS$</t>
  </si>
  <si>
    <t>stocks actifs d'investissement avec amortissement physique Geuros 2015 voir tableur FBCF-France-100-30-15-7</t>
    <phoneticPr fontId="20" type="noConversion"/>
  </si>
  <si>
    <r>
      <t>stocks actif d'espérance de vie année n, depuis 1950, source tableur espérance de vie Meuros 2015</t>
    </r>
    <r>
      <rPr>
        <b/>
        <sz val="10"/>
        <color indexed="10"/>
        <rFont val="Verdana"/>
        <family val="2"/>
      </rPr>
      <t xml:space="preserve"> </t>
    </r>
    <phoneticPr fontId="20" type="noConversion"/>
  </si>
  <si>
    <t>PIBE annuel / habitant Jouy le Moutier en euros 2015</t>
    <phoneticPr fontId="20" type="noConversion"/>
  </si>
  <si>
    <t>Production de dommages année courante par perte d'engrais en GUS$ 2015 à partir du gâchis agricole</t>
    <phoneticPr fontId="20" type="noConversion"/>
  </si>
  <si>
    <t xml:space="preserve">prix annuel d'exportation du plastic,  source UNTCAD  commerce mondial en GUS$ Constant 2015 /MT </t>
  </si>
  <si>
    <t>production Europe annuelle de plastiques en MT/an source Plastic Europe pm</t>
  </si>
  <si>
    <t>Production de dommages année courante pesticides en GEuros2015</t>
    <phoneticPr fontId="20" type="noConversion"/>
  </si>
  <si>
    <t>à 60€ par TCO2e; extrapolation via GES pour 2025</t>
  </si>
  <si>
    <t xml:space="preserve">Production de dommages année courante par perte d'engrais en GEuros2015 à partir du gâchis de l'agriculture </t>
    <phoneticPr fontId="20" type="noConversion"/>
  </si>
  <si>
    <t xml:space="preserve">MT: https://ourworldindata.org/fertilizers#explore-data-on-fertilizers </t>
  </si>
  <si>
    <t xml:space="preserve">GUS$ : https://www.banquemondiale.org/fr/news/press-release/2022/10/26/commodity-markets-outlook </t>
  </si>
  <si>
    <t>1965</t>
  </si>
  <si>
    <t>1966</t>
  </si>
  <si>
    <t>1967</t>
  </si>
  <si>
    <t>la valeur de l'eau consommée est prise égale à 49,5% de la valeur prélevée</t>
    <phoneticPr fontId="20" type="noConversion"/>
  </si>
  <si>
    <t>part des subventions 2019 i et E en %</t>
    <phoneticPr fontId="20" type="noConversion"/>
  </si>
  <si>
    <t>Source UN via ined yc projection 2025</t>
  </si>
  <si>
    <t xml:space="preserve">France </t>
  </si>
  <si>
    <t>Population France en milliers de personnes</t>
  </si>
  <si>
    <t>source CCI-LC: surface artificialisée 1990 à proportion PIB de 1990 sur 1992; 2021 et 2025 interpolé PIB</t>
    <phoneticPr fontId="20" type="noConversion"/>
  </si>
  <si>
    <t>SAU France en km2</t>
    <phoneticPr fontId="20" type="noConversion"/>
  </si>
  <si>
    <t xml:space="preserve"> </t>
  </si>
  <si>
    <t>Source statista; principe : décennie 90=0,94 ; décenie 2010= 1,21; 2020=1,5</t>
  </si>
  <si>
    <t>Source Insee : comptes de la nation annuels en Gigaeuros 2014, (inflation 2014-2015 nulle); sauf 2025</t>
  </si>
  <si>
    <t>source Aquastat</t>
  </si>
  <si>
    <t>source https://ourworldindata.org/plastic-pollution fondée  R Geyer sciadv</t>
  </si>
  <si>
    <t xml:space="preserve"> par SAU perdue et PIB (CCI-LC)/ </t>
  </si>
  <si>
    <t>tonne de glace/eau : 0,917 T/M3</t>
  </si>
  <si>
    <t>PIB Monde GUS$ constants</t>
  </si>
  <si>
    <t>Phosphates</t>
    <phoneticPr fontId="19" type="noConversion"/>
  </si>
  <si>
    <t>Potasse</t>
    <phoneticPr fontId="19" type="noConversion"/>
  </si>
  <si>
    <t>TOTAL</t>
    <phoneticPr fontId="19" type="noConversion"/>
  </si>
  <si>
    <t>US$/tonne</t>
    <phoneticPr fontId="19" type="noConversion"/>
  </si>
  <si>
    <t>"azote"</t>
  </si>
  <si>
    <t>"phosphate"</t>
  </si>
  <si>
    <t>"potasse"</t>
  </si>
  <si>
    <t>la valeur de l'eau souterraine prélevée est prise égale à l'efficacité de l'eau indicateur 6-4-1 de la Fao</t>
  </si>
  <si>
    <t>total monde</t>
  </si>
  <si>
    <t>somme de 1990 à 2000</t>
  </si>
  <si>
    <t>S 2001 à 2015</t>
  </si>
  <si>
    <t>S 1990 à 2015</t>
  </si>
  <si>
    <t>GUS$/an</t>
    <phoneticPr fontId="19" type="noConversion"/>
  </si>
  <si>
    <t>Total</t>
    <phoneticPr fontId="19" type="noConversion"/>
  </si>
  <si>
    <t>Source Fao et UN ODD 123-a et b; voir détail sources et calcul ligne 179, gâchis agriculture (1,728 GT) pour 6627 millions humains 2007</t>
    <phoneticPr fontId="20" type="noConversion"/>
  </si>
  <si>
    <t>Production de dommages année courante par déchets plastiques en GUS$ 2015</t>
    <phoneticPr fontId="20" type="noConversion"/>
  </si>
  <si>
    <t>puis télécharger les tableaux agriculture</t>
  </si>
  <si>
    <t>En US$ constant via le rapport PIB constant-PIB courant; 2025 au prorata GES</t>
  </si>
  <si>
    <t>Coût marchand annuel énergies fossiles GUS$ 2015</t>
    <phoneticPr fontId="20" type="noConversion"/>
  </si>
  <si>
    <t>UTCAF incluses, Source UN (1990-2019) puis ourworldindata.org sauf 2025 (FMI implicite)</t>
  </si>
  <si>
    <t>Population Monde, en millions de personnes</t>
  </si>
  <si>
    <t>PIB Monde GigaUS$ constants 2015</t>
    <phoneticPr fontId="20" type="noConversion"/>
  </si>
  <si>
    <t>PIB Monde "Geuro constants 2015"</t>
    <phoneticPr fontId="20" type="noConversion"/>
  </si>
  <si>
    <t xml:space="preserve">Taux prix marché sur prix efficace road diesel </t>
    <phoneticPr fontId="20" type="noConversion"/>
  </si>
  <si>
    <t xml:space="preserve">essence M de Tonnes      </t>
    <phoneticPr fontId="20" type="noConversion"/>
  </si>
  <si>
    <t>proportionnel à variation PIB France à partir de coût 2019, Geuros 2015 ; coût réel?</t>
    <phoneticPr fontId="20" type="noConversion"/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</si>
  <si>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</si>
  <si>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</si>
  <si>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</si>
  <si>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</si>
  <si>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</si>
  <si>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</si>
  <si>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</si>
  <si>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</si>
  <si>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</si>
  <si>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</si>
  <si>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</si>
  <si>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</si>
  <si>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</si>
  <si>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</si>
  <si>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</si>
  <si>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</si>
  <si>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</si>
  <si>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</si>
  <si>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</si>
  <si>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</si>
  <si>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</si>
  <si>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</si>
  <si>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</si>
  <si>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</si>
  <si>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</si>
  <si>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</si>
  <si>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</si>
  <si>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</si>
  <si>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</si>
  <si>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</si>
  <si>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</si>
  <si>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</si>
  <si>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SOUS_DETAIL FONTE GLACIERS</t>
  </si>
  <si>
    <t>NY.GDP.MKTP.KD</t>
  </si>
  <si>
    <t>Indicator Name</t>
  </si>
  <si>
    <t>Indicator Code</t>
  </si>
  <si>
    <t>1960</t>
  </si>
  <si>
    <t>1961</t>
  </si>
  <si>
    <t>1962</t>
  </si>
  <si>
    <t>France 30 GUS$ courants 2019 Source rapport FMI WP/21/236 p36</t>
  </si>
  <si>
    <t>JOUY LE MOUTIER</t>
  </si>
  <si>
    <t>Val d'Oise</t>
  </si>
  <si>
    <t>Cergy-pontoise</t>
  </si>
  <si>
    <t>Jouy le Moutier</t>
  </si>
  <si>
    <t>UTCAF incluses, Source ourworldindata.org sauf 2025 (FMI implicite)</t>
  </si>
  <si>
    <t>2000-2004</t>
  </si>
  <si>
    <t>données</t>
  </si>
  <si>
    <t>2015-2019</t>
  </si>
  <si>
    <t>source datalab 2021, % de tWh</t>
  </si>
  <si>
    <t>source Banque mondiale</t>
    <phoneticPr fontId="20" type="noConversion"/>
  </si>
  <si>
    <t>Charbon</t>
    <phoneticPr fontId="20" type="noConversion"/>
  </si>
  <si>
    <t>2000-2019</t>
  </si>
  <si>
    <t>Monde</t>
  </si>
  <si>
    <t>PIB ($ US constants de 2015)</t>
  </si>
  <si>
    <t>à partir des données monde à proportion du PIB et en geuros</t>
    <phoneticPr fontId="20" type="noConversion"/>
  </si>
  <si>
    <t>Pesticides Monde MT ingrédients actifs (pm)</t>
    <phoneticPr fontId="20" type="noConversion"/>
  </si>
  <si>
    <t>Source UN Time Series - Net CO₂ emissions/removals from LULUCF; 2025 interpolée</t>
  </si>
  <si>
    <t>taux d'inflation France euros 2015-2019 sourde Insee 0,041</t>
    <phoneticPr fontId="20" type="noConversion"/>
  </si>
  <si>
    <t>Rapport FMI p23 l'électricité n'est pas prise en compte dans ce calcul</t>
    <phoneticPr fontId="20" type="noConversion"/>
  </si>
  <si>
    <t>lu sur graphique FMI p20</t>
    <phoneticPr fontId="20" type="noConversion"/>
  </si>
  <si>
    <t>part des énergies fossiles dans le mix français 2019 en % de tWh</t>
  </si>
  <si>
    <t xml:space="preserve">l'annualisation de la SEIF est prise proportionellement aux variations  mondiales d'émissions  </t>
  </si>
  <si>
    <t xml:space="preserve">l'annualisation de la SEIF France est prise proportionellement aux variations  mondiales d'émissions  </t>
  </si>
  <si>
    <t>les dommages monde 2015 sont pris proportionnels aux émissions mondiales 2019/2015)</t>
  </si>
  <si>
    <t xml:space="preserve">SEI 2019 = 30 GUS$2019=23 Geuros 2015 </t>
  </si>
  <si>
    <t>Rapport FMI p18 et annexe E, (hors électricité dans cette répartition)</t>
  </si>
  <si>
    <t>revenu médian annuel</t>
    <phoneticPr fontId="20" type="noConversion"/>
  </si>
  <si>
    <t>MONDE</t>
  </si>
  <si>
    <r>
      <t xml:space="preserve">Coût </t>
    </r>
    <r>
      <rPr>
        <i/>
        <sz val="10"/>
        <rFont val="Verdana"/>
      </rPr>
      <t>marchand 2019 énergies fossiless"Geuro constants 2015"</t>
    </r>
  </si>
  <si>
    <t xml:space="preserve"> diesel routier + fuel chauffage M de Tonnes </t>
  </si>
  <si>
    <t xml:space="preserve">Taux prix marché sur prix efficace gasoline </t>
  </si>
  <si>
    <t>Emissions  mondiales de GES en MTCO2e/an</t>
  </si>
  <si>
    <t>Empreinte carbone France en MTCO2e/an</t>
  </si>
  <si>
    <t>SEIF subventions explicites et implicites fossiles</t>
  </si>
  <si>
    <t>fresh ground water (FAO 2015-2020) puis interpolation PIB Monde 1990 et fgw après 2020 Giga M3</t>
  </si>
  <si>
    <t xml:space="preserve">interpolations proportionnelles à la température déclenchée 10 ans auparavent </t>
  </si>
  <si>
    <t>température déclenchée année courante moins 10 ans</t>
  </si>
  <si>
    <t>température déclenchée année courante</t>
  </si>
  <si>
    <t>source rendre visible l'invisible ONU</t>
  </si>
  <si>
    <t>SOUS_DETAIL FERTILISANTS Sources: Bloomberg ; Banque Mondiale</t>
  </si>
  <si>
    <t>1990 interpolé 1992-1993-1994 CCI-LC (300m); 2015-2019 CG-LS (100m); 2020-2021 World cover</t>
  </si>
  <si>
    <t>Source FAO https://www.fao.org/faostat/en/#data/RP/visualize; 2025 extrapolé PIB</t>
  </si>
  <si>
    <t>SOUS_DETAIL PESTICIDES</t>
  </si>
  <si>
    <t xml:space="preserve">SOUS_DETAIL GACHIS AGRICULTURE </t>
  </si>
  <si>
    <t>MONDE Sous-Détails</t>
  </si>
  <si>
    <t>% Gâchis de production à vente 1,6 GT dont 1,3 pour la nourriture 2007; de détail à maison 121kg/personne 2018; 6GT de production agricole totale ; population mondiale 2007 6,6 milliards</t>
  </si>
  <si>
    <t>Monde en MT</t>
    <phoneticPr fontId="19" type="noConversion"/>
  </si>
  <si>
    <t>Azote</t>
    <phoneticPr fontId="19" type="noConversion"/>
  </si>
  <si>
    <t>données world land cover;la résolution à 10m  indique une sous estimation de CCI-LC.</t>
    <phoneticPr fontId="20" type="noConversion"/>
  </si>
  <si>
    <t xml:space="preserve">pétrole </t>
    <phoneticPr fontId="20" type="noConversion"/>
  </si>
  <si>
    <t>gaz</t>
    <phoneticPr fontId="20" type="noConversion"/>
  </si>
  <si>
    <t>Source UN https://unfccc.int/topics/mitigation/resources/registry-and-data/ghg-data-from-unfccc</t>
  </si>
  <si>
    <t>Coût marchand annuel énergies fossiles Geuros 2015</t>
  </si>
  <si>
    <t xml:space="preserve">population plus emploi </t>
    <phoneticPr fontId="20" type="noConversion"/>
  </si>
  <si>
    <t>Emploi</t>
    <phoneticPr fontId="20" type="noConversion"/>
  </si>
  <si>
    <t xml:space="preserve">Population </t>
    <phoneticPr fontId="20" type="noConversion"/>
  </si>
  <si>
    <t>Emploi France en milliers de personnes</t>
    <phoneticPr fontId="20" type="noConversion"/>
  </si>
  <si>
    <t xml:space="preserve">Source Insee </t>
    <phoneticPr fontId="20" type="noConversion"/>
  </si>
  <si>
    <t>Source Insee + interpolations</t>
    <phoneticPr fontId="20" type="noConversion"/>
  </si>
  <si>
    <t>revenu médian France euros 2015</t>
  </si>
  <si>
    <t>stocks actifs d'investissement Monde, avec amortissement physique  voir tableur  FBCF Monde  Cumulée 100-30-15-7 ans</t>
    <phoneticPr fontId="20" type="noConversion"/>
  </si>
  <si>
    <t>PIBE annuel/habitant du monde en US$ 2015</t>
    <phoneticPr fontId="20" type="noConversion"/>
  </si>
  <si>
    <t>PIBE annuel / habitant France en euros 2015</t>
    <phoneticPr fontId="20" type="noConversion"/>
  </si>
  <si>
    <t>Agriculture</t>
  </si>
  <si>
    <t>Industrie</t>
  </si>
  <si>
    <t>US$</t>
  </si>
  <si>
    <t>source Fao efficacité utilisation de l'eau https://www.fao.org/sustainable-development-goals/indicators/fr/</t>
  </si>
  <si>
    <t>Giga tonnes</t>
  </si>
  <si>
    <t>services</t>
  </si>
  <si>
    <t>total</t>
  </si>
  <si>
    <t>US$/m3</t>
  </si>
  <si>
    <t>FAOSTAT_data_fr_5-21-2023.xls</t>
  </si>
  <si>
    <t>part des subventions 2019 I et E en s"Geuro constants 2015" energie j</t>
    <phoneticPr fontId="20" type="noConversion"/>
  </si>
  <si>
    <t>Taux prix marché sur prix efficace fj</t>
    <phoneticPr fontId="20" type="noConversion"/>
  </si>
  <si>
    <t xml:space="preserve">lu sur graphique rapport FMI p18 </t>
    <phoneticPr fontId="20" type="noConversion"/>
  </si>
  <si>
    <t xml:space="preserve">source OCDE et Banque mondiale  </t>
    <phoneticPr fontId="20" type="noConversion"/>
  </si>
  <si>
    <t xml:space="preserve">l'amortissment de la FBCF est évaluée avec 20% sur 100 ans, 30% sur 30, 30 sur 15 et 20 sur 7     </t>
    <phoneticPr fontId="20" type="noConversion"/>
  </si>
  <si>
    <t>1963</t>
  </si>
  <si>
    <t>1964</t>
  </si>
  <si>
    <t>SEIF annuel monde</t>
  </si>
  <si>
    <t>SEIF annuel France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</si>
  <si>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</si>
  <si>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</si>
  <si>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</si>
  <si>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</si>
  <si>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</si>
  <si>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</si>
  <si>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</si>
  <si>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</si>
  <si>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</si>
  <si>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</si>
  <si>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</si>
  <si>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</si>
  <si>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1975</t>
  </si>
  <si>
    <t>1976</t>
  </si>
  <si>
    <t>1977</t>
  </si>
  <si>
    <t>source https://unctadstat.unctad.org/wds/TableViewer/tableView.aspx?ReportId=225371 ; 1990 et 2025 extrapolés au prorata PIB</t>
  </si>
  <si>
    <t>SOUS_DETAIL PRIX DE L'EAU SOUTERRAINE</t>
  </si>
  <si>
    <t>PIB Monde GUS$ courants</t>
  </si>
  <si>
    <t>valeur de l'eau années extrapolée</t>
  </si>
  <si>
    <t>S 2022 à 2025</t>
  </si>
  <si>
    <t>taux de change 1,258</t>
  </si>
  <si>
    <t>Production de dommages France année courante par déchets plastiques en Geuros 2015</t>
  </si>
  <si>
    <t xml:space="preserve">Dommages biodiversité </t>
    <phoneticPr fontId="20" type="noConversion"/>
  </si>
  <si>
    <t>production de dommages année courante biodiversité en GUS$ 2015</t>
    <phoneticPr fontId="20" type="noConversion"/>
  </si>
  <si>
    <t>production de dommages année courante biodiversité en GUS$ 2015</t>
    <phoneticPr fontId="20" type="noConversion"/>
  </si>
  <si>
    <t xml:space="preserve">taux moyen prix marché sur prix efficace </t>
  </si>
  <si>
    <t>source insee et data lab</t>
  </si>
  <si>
    <t>2019 en GUS$2015</t>
  </si>
  <si>
    <t>Monde coûts efficace et marchand énergies fossiles GUS$ 2019</t>
  </si>
  <si>
    <t>Coût marchand 2019 énergies fossiles GUS$ 2015</t>
  </si>
  <si>
    <t>SEIF monde 2019-2015 GigaUS$ constants 2015</t>
  </si>
  <si>
    <t>UTCAF  émissions annuelles Jouy le Moutier en TCO2e</t>
    <phoneticPr fontId="20" type="noConversion"/>
  </si>
  <si>
    <r>
      <t xml:space="preserve">Production de dommages année courante pesticides en </t>
    </r>
    <r>
      <rPr>
        <sz val="10"/>
        <rFont val="Verdana"/>
      </rPr>
      <t>Meuros2015</t>
    </r>
    <phoneticPr fontId="20" type="noConversion"/>
  </si>
  <si>
    <t xml:space="preserve">a proportion de la SAU perdue et du PIB (CCI-LC) </t>
    <phoneticPr fontId="20" type="noConversion"/>
  </si>
  <si>
    <t>PIB US$ constants 2015 (source US$ 2011 converti 2015)</t>
  </si>
  <si>
    <t>stocks actifs de dommages énergies fossiles Monde, année n, depuis 1950,  GigaUS$ 2015</t>
  </si>
  <si>
    <t>GHG UTCAF Monde en MTCO2e</t>
  </si>
  <si>
    <t>GHG UTCAF Monde en GUS$ 2015</t>
  </si>
  <si>
    <t>Dommages énergies fossiles Jouy le Moutier année n, en Meuros 2015</t>
  </si>
  <si>
    <t>surfaces artificialisée, source FAO, CCILC en millier d'ha 1992-2020 résolution 300m; sauf 1950</t>
  </si>
  <si>
    <r>
      <t xml:space="preserve">stocks actifs GHG UTCAF Monde, année n, depuis 1950, en GUS$ 2015 </t>
    </r>
    <r>
      <rPr>
        <i/>
        <sz val="10"/>
        <rFont val="Verdana"/>
      </rPr>
      <t>B32*60*(D4/H3)*(B351/D4)/1000</t>
    </r>
  </si>
  <si>
    <t xml:space="preserve">extrapolation au prorata  de la température déclenchée 10 ans auparavent </t>
  </si>
  <si>
    <t>Interpolation / décennies</t>
  </si>
  <si>
    <t>SEIF France 2019-2015 GigaUS$ constants 2015</t>
  </si>
  <si>
    <t>SEIF France 2019-2015 "Geuro constants 2015"</t>
  </si>
  <si>
    <t>les dommages France 2015 sont pris proportionnels aux émissions mondiales 2019/2015</t>
  </si>
  <si>
    <t>FRANCE Coût efficace et marchand 2019 énergies fossiles"Geuro constants 2015"</t>
  </si>
  <si>
    <t>à proportion SEIF monde 2019 en US$ constant 2015 sur SEIF en US$ courant 2019</t>
  </si>
  <si>
    <t>électricité, 4%, répartie</t>
  </si>
  <si>
    <t xml:space="preserve">Taux prix marchand sur prix efficace </t>
  </si>
  <si>
    <t>CEF Monde Coût 2019 énergies fossiles prix efficace GigaUS$ 2015</t>
  </si>
  <si>
    <r>
      <t xml:space="preserve">stock actif de l'ensemble des dommages UTCAF Monde, année n, depuis 1950, </t>
    </r>
    <r>
      <rPr>
        <b/>
        <i/>
        <sz val="10"/>
        <rFont val="Verdana"/>
      </rPr>
      <t>en GUS$ 2015</t>
    </r>
  </si>
  <si>
    <t>stocks actifs de perte de biodiversité Monde, année n depuis 1950, en Giga US$</t>
  </si>
  <si>
    <t xml:space="preserve">Source Banque mondiale; 1950 interpolé 1961-1971 </t>
  </si>
  <si>
    <t>GHG UTCAF France en Geuros 2015</t>
  </si>
  <si>
    <t xml:space="preserve"> GHG UTCAF France total en MTCO2e</t>
  </si>
  <si>
    <t>à 60€ par TCO2e, ramené 2015 et proportionnel au PIBannée n/2015; extrapolation via GES pour 2025</t>
  </si>
  <si>
    <r>
      <t>chiffre d'affaire pesticides annualisés GUS$ Constants 2015</t>
    </r>
    <r>
      <rPr>
        <b/>
        <sz val="10"/>
        <rFont val="Verdana"/>
      </rPr>
      <t xml:space="preserve"> </t>
    </r>
  </si>
  <si>
    <t>Coût de marché engrais Monde en GUS$ voir détail ci dessous ramené en US$ constant 2015; 1950 interpolé PIB</t>
  </si>
  <si>
    <t>surfaces artificialisée, source FAO, CCILC en millier d'ha 1992-2020 résolution 300m; 1950 et 1990 extrapolés 1992 via le PIB</t>
  </si>
  <si>
    <t>stocks actifs énergies fossiles France, année n, depuis 1950, en Geuros 2015</t>
  </si>
  <si>
    <t xml:space="preserve"> stocks actifs GHG UTCAF France, année n, depuis 1950, en Geuros 2015</t>
  </si>
  <si>
    <t>stocks actifs pesticides France, année n, depuis 1950, en Geuros 2015</t>
  </si>
  <si>
    <t>stocks actifs  engrais  France, année n, depuis 1950, en Geuros 2015</t>
  </si>
  <si>
    <r>
      <t>dommages</t>
    </r>
    <r>
      <rPr>
        <b/>
        <i/>
        <sz val="10"/>
        <rFont val="Verdana"/>
      </rPr>
      <t xml:space="preserve"> </t>
    </r>
    <r>
      <rPr>
        <sz val="10"/>
        <rFont val="Verdana"/>
      </rPr>
      <t>artificialisation sols France, année n,  en Geuros 2015</t>
    </r>
  </si>
  <si>
    <r>
      <t xml:space="preserve"> </t>
    </r>
    <r>
      <rPr>
        <b/>
        <i/>
        <sz val="10"/>
        <rFont val="Verdana"/>
      </rPr>
      <t>stocks actifs artificialisation sols France, depuis 1950, année n,  en Geuros 2015</t>
    </r>
  </si>
  <si>
    <t>stocks actifs de plastiques,  France depuis 1950, année n, en Geuros 2015</t>
  </si>
  <si>
    <t>France Coût 2019 énergies fossiles prix efficaces "Geuro constants 2015"</t>
    <phoneticPr fontId="20" type="noConversion"/>
  </si>
  <si>
    <t>total</t>
    <phoneticPr fontId="20" type="noConversion"/>
  </si>
  <si>
    <t>source UN</t>
    <phoneticPr fontId="20" type="noConversion"/>
  </si>
  <si>
    <t>investissement mondial  voir tableur OCDE-Monde FCBF GUS$ 2015 DP_LIVE_05082023184833418</t>
    <phoneticPr fontId="20" type="noConversion"/>
  </si>
  <si>
    <t>gain d'espérance de vie année courante depuis 1950, en années</t>
    <phoneticPr fontId="20" type="noConversion"/>
  </si>
  <si>
    <t>production Monde annuelle de déchets plastiques en MT/an source our world in data</t>
    <phoneticPr fontId="20" type="noConversion"/>
  </si>
  <si>
    <t xml:space="preserve"> GUS$ courant et MT; 2025 extrapolé </t>
    <phoneticPr fontId="20" type="noConversion"/>
  </si>
  <si>
    <t>part des subventions 2019 I et E en Giga US$ 2015</t>
    <phoneticPr fontId="20" type="noConversion"/>
  </si>
  <si>
    <t>gain d'espérance de vie année courante depuis 1950, en années; 1950 =(EV Femmes + Hommes sur 2) de 1949 à 1950;</t>
  </si>
  <si>
    <t>GHG UTCAF Jouy le Moutier en Meuros 2015</t>
  </si>
  <si>
    <t>stocks actifs énergies fossiles Jouy le Moutier année n, depuis 1950, en Meuros 2015</t>
  </si>
  <si>
    <t xml:space="preserve"> stocks actifs GHG UTCAF Jouy le Moutier, année n, depuis 1950, en Meuros 2015</t>
  </si>
  <si>
    <t>stocks actifs de plastiques,  Jouy le Moutier depuis 1950, année n, en Meuros 2015</t>
  </si>
  <si>
    <r>
      <t>stocks actifs eau souterraines et glaciers, Jouy le Moutier depuis 1950, année n, en M</t>
    </r>
    <r>
      <rPr>
        <b/>
        <i/>
        <sz val="10"/>
        <rFont val="Verdana"/>
      </rPr>
      <t>Euros 2015</t>
    </r>
  </si>
  <si>
    <r>
      <t xml:space="preserve"> stocks actifs perte de biodiversité, Jouy le Moutier depuis 1950, année n, en</t>
    </r>
    <r>
      <rPr>
        <b/>
        <sz val="10"/>
        <color indexed="10"/>
        <rFont val="Verdana"/>
        <family val="2"/>
      </rPr>
      <t xml:space="preserve"> </t>
    </r>
    <r>
      <rPr>
        <b/>
        <sz val="10"/>
        <rFont val="Verdana"/>
      </rPr>
      <t>Meuros 2015</t>
    </r>
    <r>
      <rPr>
        <b/>
        <sz val="10"/>
        <color indexed="10"/>
        <rFont val="Verdana"/>
        <family val="2"/>
      </rPr>
      <t xml:space="preserve"> </t>
    </r>
    <r>
      <rPr>
        <b/>
        <sz val="10"/>
        <rFont val="Verdana"/>
      </rPr>
      <t xml:space="preserve"> </t>
    </r>
  </si>
  <si>
    <t>-</t>
  </si>
  <si>
    <t>stock actif conditions annuelles de bien-être/habitant (gains - dommages 1990) euros 2015</t>
  </si>
  <si>
    <t xml:space="preserve">empreinte carbone Jouy le Moutier en TCO2e voir tableur pop-emp-rev med Jouy le moutier </t>
  </si>
  <si>
    <t xml:space="preserve">population Jouy le Moutier voir tableur pop-emp-rev med Jouy le moutier </t>
  </si>
  <si>
    <t xml:space="preserve">emploi Jouy le Moutier voir tableur pop-emp-rev med Jouy le moutier </t>
  </si>
  <si>
    <t>PIB annuel Jouy le Moutier en millions d'euros 2015 voir ligne 379</t>
  </si>
  <si>
    <t>stocks actifs d'investissement avec amortissement physique Meuros 2015 source tableur FBCF-France-100-30-15-7</t>
  </si>
  <si>
    <t>investissement France voir tableur  France FBCF Geuros 2015 DP_LIVE_05082023184833418</t>
  </si>
  <si>
    <t>investissement Jouy le Moutier voir tableur FBCF Geuros 2015 DP_LIVE_05082023184833418</t>
  </si>
  <si>
    <r>
      <t>stocks actifs pesticides Jouy le Moutier, année n, depuis 1950, en M</t>
    </r>
    <r>
      <rPr>
        <b/>
        <i/>
        <sz val="10"/>
        <rFont val="Verdana"/>
      </rPr>
      <t>euros 2015</t>
    </r>
  </si>
  <si>
    <t>stocks actifs de dommages pesticides Monde, année n, depuis 1950, en GUS$ 2015</t>
  </si>
  <si>
    <t>stocks actifs de dommages  engrais Monde, année n, depuis 1950, en GUS$ 2015</t>
  </si>
  <si>
    <r>
      <t xml:space="preserve"> </t>
    </r>
    <r>
      <rPr>
        <b/>
        <i/>
        <sz val="10"/>
        <rFont val="Verdana"/>
      </rPr>
      <t>stocks actifs artificialisation sols Monde, depuis 1950, année n,  en GUS$ 2015</t>
    </r>
  </si>
  <si>
    <t>Température 1950 moins 10 ans</t>
  </si>
  <si>
    <t>Monde Eau; fresh ground water=fgw; voir sous détail ci-dessous</t>
  </si>
  <si>
    <r>
      <t>stock actif de dommages plastiques Monde, depuis 1950</t>
    </r>
    <r>
      <rPr>
        <b/>
        <i/>
        <sz val="10"/>
        <rFont val="Verdana"/>
      </rPr>
      <t>, par an en GUS$ 2015</t>
    </r>
  </si>
  <si>
    <t>stock actif de dommages eau souterraines et glaciers,Monde, année n, depuis 1950,  en GUS$ 2015</t>
  </si>
  <si>
    <t>stocks actifs  engrais  Jouy le Moutier, année n, depuis 1950, en Meuros 2015</t>
  </si>
  <si>
    <r>
      <t xml:space="preserve"> </t>
    </r>
    <r>
      <rPr>
        <b/>
        <i/>
        <sz val="10"/>
        <rFont val="Verdana"/>
      </rPr>
      <t>stocks actifs artificialisation sols Jouy le Moutier, depuis 1950, année n,  en Meuros 2015</t>
    </r>
  </si>
  <si>
    <r>
      <t>stocks actifs de l'ensemble des dommages UTCAF, Jouy le Moutier depuis 1950, année n, en</t>
    </r>
    <r>
      <rPr>
        <b/>
        <sz val="10"/>
        <rFont val="Verdana"/>
      </rPr>
      <t xml:space="preserve"> Meuros 2015</t>
    </r>
  </si>
  <si>
    <t>stocks actifs, gains (depuis 1950-100 ans) moins dommages (depuis 1990) en Meuros 2015</t>
  </si>
  <si>
    <r>
      <t>dommages</t>
    </r>
    <r>
      <rPr>
        <b/>
        <i/>
        <sz val="10"/>
        <rFont val="Verdana"/>
      </rPr>
      <t xml:space="preserve"> </t>
    </r>
    <r>
      <rPr>
        <sz val="10"/>
        <rFont val="Verdana"/>
      </rPr>
      <t>artificialisation sols Jouy le Moutier, année n,  en Meuros 2015</t>
    </r>
  </si>
  <si>
    <t xml:space="preserve">fonte annuelle glaciers interpolée, Giga tonnes voir détail ci-dessous </t>
  </si>
  <si>
    <r>
      <t xml:space="preserve">Production de dommages année courante fresh ground water et fonte glaciers gigaUS$ ; prix, cf </t>
    </r>
    <r>
      <rPr>
        <sz val="10"/>
        <rFont val="Verdana"/>
      </rPr>
      <t>sous-détail ci-dessous</t>
    </r>
  </si>
  <si>
    <t>US$/M3</t>
  </si>
  <si>
    <t>Euros/M3</t>
  </si>
  <si>
    <t>proportionnel à variation émissions monde à partir de coût 2019, GUS$2015 ; coût réel?</t>
  </si>
  <si>
    <t>taux de rejet de plastiques dans l'environnement (hors recyclage et incinération) en %</t>
  </si>
  <si>
    <t>% incinération des plastiques (monde)</t>
  </si>
  <si>
    <t>dommages solde émissions mondiales GES en Mtonnes =émissions mondiales -part des 3 énergies fossiles-UTCAF</t>
  </si>
  <si>
    <t>dommages solde émissions mondiales GES en Geuros , à 60Euros la tonne</t>
  </si>
  <si>
    <t xml:space="preserve">Stock actif de dommages du solde émissions mondiales GES en Geuros </t>
  </si>
  <si>
    <t>stocks actif d'espérance de vie année n, Monde, depuis 1950, voir tableur espérance de vie gigaUS$ 2015</t>
  </si>
  <si>
    <t>dommages solde émissions France GES en Mtonnes =émissions France -part des 3 énergies fossiles-UTCAF</t>
  </si>
  <si>
    <t>stocks actifs énergies fossiles, Utcaf, solde émissions,biodiversité année n Monde depuis 1950,  en GUS$ 2015</t>
  </si>
  <si>
    <t xml:space="preserve">Stock actif de dommages du solde émissions Jouy le moutier GES en Meuros </t>
  </si>
  <si>
    <t>dommages artificialisation sols France, année n,  en Geuros 2015</t>
  </si>
  <si>
    <t>stocks actifs, gains (depuis 1950-100 ans) moins dommages (depuis 1950) en Geuros 2015</t>
  </si>
  <si>
    <r>
      <t xml:space="preserve">stocks actifs eau souterraines et glaciers, France depuis 1950, année n, en </t>
    </r>
    <r>
      <rPr>
        <b/>
        <i/>
        <sz val="10"/>
        <rFont val="Verdana"/>
      </rPr>
      <t>GEuros 2015</t>
    </r>
  </si>
  <si>
    <t>stocks actifs espérance de viedepuis  1950 et investissement Monde depuis 100 à 7 ans, année n,   en GUS$ 2015</t>
    <phoneticPr fontId="20" type="noConversion"/>
  </si>
  <si>
    <t>Source statista; principe : décennie 90=0,94 ; décennie 2010= 1,21; décennie 2020=1,5</t>
    <phoneticPr fontId="20" type="noConversion"/>
  </si>
  <si>
    <t>augmentation température déclenchée, 0,2°C de 1940 à 1960 puis base décennie 1990-2010-2020 cf sous-détail</t>
    <phoneticPr fontId="20" type="noConversion"/>
  </si>
  <si>
    <t>stock actif conditions annuelles de bien-être/habitant (gains depuis 1950-100 ans) moins dommages (depuis 1950)en US$ 2015</t>
    <phoneticPr fontId="20" type="noConversion"/>
  </si>
  <si>
    <t>stocks actifs espérance de vie depuis  1950 et investissement depuis 100 à 7 ans,  année n, en Geuros 2015</t>
    <phoneticPr fontId="20" type="noConversion"/>
  </si>
  <si>
    <t>stocks actifs espérance de vie  depuis  1950 et investissement depuis 100 à 7 ans,  année n, en Meuros 2015</t>
    <phoneticPr fontId="20" type="noConversion"/>
  </si>
  <si>
    <t>stocks actifs énergies fossiles, Utcaf, solde émissions, biodiversité année n Jouy le Moutier depuis 1950,  en Meuros 2015</t>
  </si>
  <si>
    <t>dommages solde émissions France GES en Geuros , à 60 Euros 2019 la tonne, indexé PIB</t>
  </si>
  <si>
    <t>PRODUIT INTERIEUR DE BIEN-ETRE MONDE</t>
  </si>
  <si>
    <t>PRODUIT INTERIEUR DE BIEN-ETRE FRANCE</t>
  </si>
  <si>
    <r>
      <t xml:space="preserve"> stocks actifs perte de biodiversité, France depuis 1950, année n, en </t>
    </r>
    <r>
      <rPr>
        <b/>
        <sz val="10"/>
        <rFont val="Verdana"/>
      </rPr>
      <t xml:space="preserve">Geuros 2015  </t>
    </r>
    <phoneticPr fontId="20" type="noConversion"/>
  </si>
  <si>
    <r>
      <t>stocks actifs de l'ensemble des dommages UTCAF, France depuis 1950, année n, en</t>
    </r>
    <r>
      <rPr>
        <b/>
        <sz val="10"/>
        <rFont val="Verdana"/>
      </rPr>
      <t xml:space="preserve"> Geuros 2015</t>
    </r>
    <phoneticPr fontId="20" type="noConversion"/>
  </si>
  <si>
    <t xml:space="preserve">Stock actif de dommages du solde émissions France depuis 1950, année n, en GES en Geuros </t>
    <phoneticPr fontId="20" type="noConversion"/>
  </si>
  <si>
    <t>stocks actifs énergies fossiles, Utcaf, solde émissions, biodiversité année n France depuis 1950,  en GUS$ 2015</t>
    <phoneticPr fontId="20" type="noConversion"/>
  </si>
  <si>
    <t>stocks actifs, gains (depuis 1950-100 ans) moins dommages (depuis 1950) en Geuros 2015</t>
    <phoneticPr fontId="20" type="noConversion"/>
  </si>
  <si>
    <t>PRODUIT INTERIEUR DE BIEN-ETRE JOUY LE MOUTIER</t>
    <phoneticPr fontId="20" type="noConversion"/>
  </si>
  <si>
    <t>UC France en milliions</t>
    <phoneticPr fontId="20" type="noConversion"/>
  </si>
  <si>
    <t>JOUY LE MOUTIER</t>
    <phoneticPr fontId="20" type="noConversion"/>
  </si>
  <si>
    <t>PIBE annuel / UC  France en euros 2015</t>
    <phoneticPr fontId="20" type="noConversion"/>
  </si>
  <si>
    <t>température monde</t>
    <phoneticPr fontId="20" type="noConversion"/>
  </si>
  <si>
    <t>calculé avec coefficient 1,258, moyenne 2010-2020</t>
  </si>
  <si>
    <t>Monde,SEI= 5900 GigaUS$ courants 2019 Source rapport FMI WP/21/236;  PIB monde en GUS$ courant 2019=87650</t>
  </si>
  <si>
    <t xml:space="preserve"> Source rapport FMI WP/21/236 et plus généralement https://climatedata.imf.org/</t>
  </si>
  <si>
    <t xml:space="preserve">Pesticides Monde chiffre d'affaire Geuros courants en GUS$ Constants 2015 (2008-10-14-16-18) </t>
  </si>
  <si>
    <t>Annualisation Pesticides Monde</t>
  </si>
  <si>
    <t>Pesticides Monde chiffre d'affaire annuel GUS$ 2015 produits achetés en agriculture voir sous détail pour annualisation</t>
  </si>
  <si>
    <t>Production de dommages année courante par perte de pesticides en GUS$ 2015 voir sous détail gâchis agricole</t>
  </si>
  <si>
    <t>source UN WPP2022_MORT_F05_1_LIFE_EXPECTANCY_BY_AGE_BOTH_SEXES ; espérance de vie 1950 : 46,5 ans; 2025 prévision UN</t>
  </si>
  <si>
    <t>source datalab 2020  (nouvelle)Estimation de l’empreinte carbone de 1995 à 2020 Données et études statistiques.pdf; empreinte 1990= bilan 1990; extrapolation stabilité pour 2025</t>
  </si>
  <si>
    <t>Dommages biodiversité Jouy le Moutier</t>
  </si>
  <si>
    <t xml:space="preserve">Production dommages Jouy le Moutier année courante fresh ground water et fonte glaciers Meuros </t>
  </si>
  <si>
    <t>dommages solde émissions Jouy le Moutier GES en Meuros , à 60Euros la tonne; à proportions émissions JLM/France</t>
  </si>
  <si>
    <t>PIB France Giga euro constants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</si>
</sst>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0.000000"/>
    <numFmt numFmtId="167" formatCode="#,##0.0"/>
    <numFmt numFmtId="168" formatCode="&quot;(r) &quot;#,##0.0"/>
    <numFmt numFmtId="169" formatCode="0.0%"/>
    <numFmt numFmtId="170" formatCode="#\ ###\ ##0.0"/>
  </numFmts>
  <fonts count="53" x14ac:knownFonts="1">
    <font>
      <sz val="10"/>
      <name val="Verdana"/>
    </font>
    <font>
      <b/>
      <sz val="10"/>
      <name val="Verdana"/>
    </font>
    <font>
      <i/>
      <sz val="10"/>
      <name val="Verdana"/>
    </font>
    <font>
      <b/>
      <i/>
      <sz val="10"/>
      <name val="Verdana"/>
    </font>
    <font>
      <sz val="10"/>
      <name val="Verdana"/>
    </font>
    <font>
      <b/>
      <sz val="10"/>
      <name val="Verdana"/>
    </font>
    <font>
      <b/>
      <i/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i/>
      <sz val="10"/>
      <name val="Verdana"/>
    </font>
    <font>
      <sz val="10"/>
      <name val="Verdana"/>
    </font>
    <font>
      <sz val="8"/>
      <name val="Verdana"/>
      <family val="2"/>
    </font>
    <font>
      <i/>
      <sz val="9"/>
      <name val="Verdana"/>
      <family val="2"/>
    </font>
    <font>
      <i/>
      <sz val="10"/>
      <name val="Verdana"/>
    </font>
    <font>
      <sz val="9"/>
      <name val="Verdana"/>
      <family val="2"/>
    </font>
    <font>
      <sz val="10"/>
      <name val="Verdana"/>
    </font>
    <font>
      <i/>
      <sz val="10"/>
      <name val="Arial"/>
      <family val="2"/>
    </font>
    <font>
      <b/>
      <sz val="14"/>
      <name val="Verdana"/>
      <family val="2"/>
    </font>
    <font>
      <sz val="12"/>
      <color indexed="8"/>
      <name val="Calibri"/>
      <family val="2"/>
    </font>
    <font>
      <b/>
      <sz val="10"/>
      <name val="Verdana"/>
    </font>
    <font>
      <b/>
      <sz val="20"/>
      <name val="Verdana"/>
      <family val="2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i/>
      <sz val="10"/>
      <color indexed="10"/>
      <name val="Verdana"/>
      <family val="2"/>
    </font>
    <font>
      <sz val="10"/>
      <color indexed="10"/>
      <name val="Verdana"/>
      <family val="2"/>
    </font>
    <font>
      <i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b/>
      <sz val="10"/>
      <name val="Verdana"/>
    </font>
    <font>
      <sz val="10"/>
      <name val="Verdana"/>
    </font>
    <font>
      <b/>
      <i/>
      <sz val="10"/>
      <name val="Verdana"/>
    </font>
    <font>
      <b/>
      <sz val="10"/>
      <color indexed="10"/>
      <name val="Verdana"/>
      <family val="2"/>
    </font>
    <font>
      <b/>
      <sz val="10"/>
      <color indexed="9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0"/>
      <name val="Verdana"/>
    </font>
    <font>
      <sz val="10"/>
      <color indexed="16"/>
      <name val="Verdana"/>
      <family val="2"/>
    </font>
    <font>
      <b/>
      <sz val="10"/>
      <color indexed="17"/>
      <name val="Verdana"/>
      <family val="2"/>
    </font>
    <font>
      <sz val="10"/>
      <name val="Verdana"/>
    </font>
    <font>
      <b/>
      <i/>
      <sz val="10"/>
      <name val="Verdana"/>
    </font>
    <font>
      <b/>
      <sz val="10"/>
      <name val="Verdana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top"/>
    </xf>
    <xf numFmtId="2" fontId="0" fillId="0" borderId="0" xfId="0" applyNumberFormat="1"/>
    <xf numFmtId="165" fontId="0" fillId="0" borderId="0" xfId="0" applyNumberFormat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1" fontId="24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164" fontId="25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6" fontId="0" fillId="0" borderId="0" xfId="0" applyNumberFormat="1" applyAlignment="1">
      <alignment horizontal="center"/>
    </xf>
    <xf numFmtId="164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6" fontId="0" fillId="0" borderId="0" xfId="0" applyNumberFormat="1"/>
    <xf numFmtId="1" fontId="0" fillId="0" borderId="0" xfId="0" applyNumberForma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6" fillId="0" borderId="0" xfId="0" applyFont="1"/>
    <xf numFmtId="0" fontId="19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8" fillId="0" borderId="0" xfId="0" applyFont="1"/>
    <xf numFmtId="0" fontId="29" fillId="0" borderId="0" xfId="0" applyFont="1"/>
    <xf numFmtId="0" fontId="2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9" fillId="0" borderId="0" xfId="0" applyFont="1" applyFill="1"/>
    <xf numFmtId="2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1" fontId="24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30" fillId="0" borderId="0" xfId="0" applyFont="1" applyAlignment="1">
      <alignment horizontal="left"/>
    </xf>
    <xf numFmtId="0" fontId="32" fillId="0" borderId="0" xfId="0" applyFont="1"/>
    <xf numFmtId="0" fontId="33" fillId="0" borderId="0" xfId="0" applyFont="1"/>
    <xf numFmtId="0" fontId="34" fillId="0" borderId="0" xfId="0" applyFont="1"/>
    <xf numFmtId="2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right"/>
    </xf>
    <xf numFmtId="0" fontId="35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1" fontId="35" fillId="0" borderId="0" xfId="0" applyNumberFormat="1" applyFont="1" applyAlignment="1">
      <alignment horizontal="center"/>
    </xf>
    <xf numFmtId="9" fontId="34" fillId="0" borderId="0" xfId="0" applyNumberFormat="1" applyFont="1" applyAlignment="1">
      <alignment horizontal="center"/>
    </xf>
    <xf numFmtId="1" fontId="34" fillId="0" borderId="0" xfId="0" applyNumberFormat="1" applyFont="1" applyAlignment="1">
      <alignment horizontal="center"/>
    </xf>
    <xf numFmtId="0" fontId="36" fillId="0" borderId="0" xfId="0" applyFont="1"/>
    <xf numFmtId="0" fontId="36" fillId="0" borderId="0" xfId="0" applyFont="1" applyFill="1"/>
    <xf numFmtId="0" fontId="37" fillId="0" borderId="0" xfId="0" applyFont="1"/>
    <xf numFmtId="0" fontId="36" fillId="0" borderId="0" xfId="0" applyFont="1" applyAlignment="1">
      <alignment horizontal="center"/>
    </xf>
    <xf numFmtId="2" fontId="36" fillId="0" borderId="0" xfId="0" applyNumberFormat="1" applyFont="1" applyAlignment="1">
      <alignment horizontal="center"/>
    </xf>
    <xf numFmtId="169" fontId="36" fillId="0" borderId="0" xfId="1" applyNumberFormat="1" applyFont="1" applyAlignment="1">
      <alignment horizontal="center"/>
    </xf>
    <xf numFmtId="2" fontId="36" fillId="0" borderId="0" xfId="1" applyNumberFormat="1" applyFont="1" applyFill="1" applyAlignment="1">
      <alignment horizontal="center"/>
    </xf>
    <xf numFmtId="164" fontId="27" fillId="0" borderId="0" xfId="0" applyNumberFormat="1" applyFont="1" applyAlignment="1">
      <alignment horizontal="center"/>
    </xf>
    <xf numFmtId="2" fontId="0" fillId="0" borderId="0" xfId="1" applyNumberFormat="1" applyFont="1" applyAlignment="1">
      <alignment horizontal="center"/>
    </xf>
    <xf numFmtId="1" fontId="36" fillId="0" borderId="0" xfId="0" applyNumberFormat="1" applyFont="1" applyAlignment="1">
      <alignment horizontal="center"/>
    </xf>
    <xf numFmtId="1" fontId="36" fillId="0" borderId="0" xfId="0" applyNumberFormat="1" applyFont="1" applyFill="1" applyAlignment="1">
      <alignment horizontal="center"/>
    </xf>
    <xf numFmtId="0" fontId="38" fillId="0" borderId="0" xfId="0" applyFont="1"/>
    <xf numFmtId="0" fontId="19" fillId="0" borderId="0" xfId="0" applyFont="1" applyFill="1" applyBorder="1"/>
    <xf numFmtId="1" fontId="24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6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35" fillId="0" borderId="0" xfId="0" applyNumberFormat="1" applyFont="1" applyFill="1" applyAlignment="1">
      <alignment horizontal="center"/>
    </xf>
    <xf numFmtId="0" fontId="17" fillId="0" borderId="0" xfId="0" applyFont="1"/>
    <xf numFmtId="0" fontId="24" fillId="0" borderId="0" xfId="0" applyFont="1" applyFill="1"/>
    <xf numFmtId="0" fontId="18" fillId="0" borderId="0" xfId="0" applyFont="1" applyFill="1" applyBorder="1"/>
    <xf numFmtId="1" fontId="35" fillId="0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ont="1"/>
    <xf numFmtId="0" fontId="0" fillId="0" borderId="0" xfId="0" applyFont="1" applyFill="1"/>
    <xf numFmtId="9" fontId="36" fillId="0" borderId="0" xfId="1" applyFont="1" applyFill="1" applyAlignment="1">
      <alignment horizontal="center"/>
    </xf>
    <xf numFmtId="0" fontId="40" fillId="0" borderId="0" xfId="0" applyFont="1"/>
    <xf numFmtId="0" fontId="39" fillId="0" borderId="0" xfId="0" applyFont="1" applyFill="1"/>
    <xf numFmtId="0" fontId="40" fillId="0" borderId="0" xfId="0" applyFont="1" applyFill="1"/>
    <xf numFmtId="0" fontId="40" fillId="0" borderId="0" xfId="0" applyFont="1" applyFill="1" applyBorder="1" applyAlignment="1">
      <alignment horizontal="left"/>
    </xf>
    <xf numFmtId="0" fontId="38" fillId="0" borderId="0" xfId="0" applyFont="1" applyFill="1"/>
    <xf numFmtId="2" fontId="0" fillId="0" borderId="0" xfId="0" applyNumberFormat="1" applyFill="1" applyAlignment="1">
      <alignment horizontal="center" vertical="top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39" fillId="0" borderId="0" xfId="0" applyFont="1" applyFill="1" applyBorder="1"/>
    <xf numFmtId="1" fontId="0" fillId="0" borderId="0" xfId="0" applyNumberFormat="1" applyFill="1" applyAlignment="1">
      <alignment horizontal="center"/>
    </xf>
    <xf numFmtId="0" fontId="43" fillId="0" borderId="0" xfId="0" applyFont="1" applyFill="1"/>
    <xf numFmtId="0" fontId="13" fillId="0" borderId="0" xfId="0" applyFont="1"/>
    <xf numFmtId="0" fontId="44" fillId="0" borderId="0" xfId="0" applyFont="1"/>
    <xf numFmtId="0" fontId="26" fillId="0" borderId="0" xfId="0" applyFont="1" applyFill="1"/>
    <xf numFmtId="0" fontId="14" fillId="0" borderId="0" xfId="0" applyFont="1" applyAlignment="1">
      <alignment horizontal="center"/>
    </xf>
    <xf numFmtId="0" fontId="30" fillId="0" borderId="0" xfId="0" applyFont="1" applyFill="1" applyAlignment="1">
      <alignment horizontal="left"/>
    </xf>
    <xf numFmtId="164" fontId="31" fillId="0" borderId="0" xfId="0" applyNumberFormat="1" applyFont="1" applyAlignment="1">
      <alignment horizontal="right"/>
    </xf>
    <xf numFmtId="1" fontId="31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1" fontId="47" fillId="0" borderId="0" xfId="0" applyNumberFormat="1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2" fontId="46" fillId="0" borderId="0" xfId="0" applyNumberFormat="1" applyFont="1" applyAlignment="1">
      <alignment horizontal="center"/>
    </xf>
    <xf numFmtId="2" fontId="47" fillId="0" borderId="0" xfId="0" applyNumberFormat="1" applyFont="1" applyFill="1" applyAlignment="1">
      <alignment horizontal="center"/>
    </xf>
    <xf numFmtId="1" fontId="1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0" fontId="11" fillId="0" borderId="0" xfId="0" applyFont="1"/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Fill="1"/>
    <xf numFmtId="0" fontId="35" fillId="0" borderId="0" xfId="0" applyFont="1" applyFill="1" applyAlignment="1">
      <alignment horizontal="center"/>
    </xf>
    <xf numFmtId="0" fontId="35" fillId="0" borderId="0" xfId="0" applyFont="1" applyFill="1"/>
    <xf numFmtId="0" fontId="34" fillId="0" borderId="0" xfId="0" applyFont="1" applyFill="1" applyAlignment="1">
      <alignment horizontal="center"/>
    </xf>
    <xf numFmtId="9" fontId="34" fillId="0" borderId="0" xfId="0" applyNumberFormat="1" applyFont="1" applyFill="1" applyAlignment="1">
      <alignment horizontal="center"/>
    </xf>
    <xf numFmtId="1" fontId="34" fillId="0" borderId="0" xfId="0" applyNumberFormat="1" applyFont="1" applyFill="1" applyAlignment="1">
      <alignment horizontal="center"/>
    </xf>
    <xf numFmtId="2" fontId="40" fillId="0" borderId="0" xfId="1" applyNumberFormat="1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2" fontId="0" fillId="0" borderId="0" xfId="1" applyNumberFormat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0" fontId="22" fillId="0" borderId="0" xfId="0" applyNumberFormat="1" applyFont="1" applyFill="1" applyAlignment="1">
      <alignment horizontal="center"/>
    </xf>
    <xf numFmtId="2" fontId="22" fillId="0" borderId="0" xfId="0" applyNumberFormat="1" applyFont="1" applyFill="1" applyAlignment="1">
      <alignment horizontal="center"/>
    </xf>
    <xf numFmtId="2" fontId="34" fillId="0" borderId="0" xfId="0" applyNumberFormat="1" applyFont="1" applyFill="1" applyAlignment="1">
      <alignment horizontal="center"/>
    </xf>
    <xf numFmtId="164" fontId="25" fillId="0" borderId="0" xfId="0" applyNumberFormat="1" applyFont="1" applyFill="1" applyAlignment="1">
      <alignment horizontal="center" vertical="center"/>
    </xf>
    <xf numFmtId="0" fontId="22" fillId="0" borderId="0" xfId="0" applyFont="1" applyFill="1"/>
    <xf numFmtId="0" fontId="37" fillId="0" borderId="0" xfId="0" applyFont="1" applyAlignment="1">
      <alignment horizontal="left"/>
    </xf>
    <xf numFmtId="0" fontId="12" fillId="0" borderId="0" xfId="0" applyFont="1" applyFill="1"/>
    <xf numFmtId="0" fontId="14" fillId="0" borderId="0" xfId="0" applyFont="1" applyFill="1" applyAlignment="1">
      <alignment horizontal="center"/>
    </xf>
    <xf numFmtId="1" fontId="45" fillId="0" borderId="0" xfId="0" applyNumberFormat="1" applyFont="1" applyFill="1" applyAlignment="1">
      <alignment horizontal="center"/>
    </xf>
    <xf numFmtId="165" fontId="19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10" fillId="0" borderId="0" xfId="0" applyNumberFormat="1" applyFont="1" applyFill="1" applyAlignment="1">
      <alignment horizontal="center"/>
    </xf>
    <xf numFmtId="0" fontId="41" fillId="0" borderId="0" xfId="0" applyFont="1" applyFill="1"/>
    <xf numFmtId="2" fontId="0" fillId="0" borderId="0" xfId="0" applyNumberFormat="1" applyAlignment="1">
      <alignment horizontal="center"/>
    </xf>
    <xf numFmtId="0" fontId="8" fillId="0" borderId="0" xfId="0" applyFont="1"/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9" fillId="0" borderId="0" xfId="0" applyFont="1" applyFill="1"/>
    <xf numFmtId="0" fontId="9" fillId="0" borderId="0" xfId="0" applyFont="1"/>
    <xf numFmtId="0" fontId="48" fillId="0" borderId="0" xfId="0" applyFont="1"/>
    <xf numFmtId="0" fontId="49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1" fontId="0" fillId="0" borderId="0" xfId="0" applyNumberFormat="1" applyFill="1" applyAlignment="1">
      <alignment horizontal="left"/>
    </xf>
    <xf numFmtId="1" fontId="40" fillId="0" borderId="0" xfId="0" applyNumberFormat="1" applyFont="1" applyAlignment="1">
      <alignment horizontal="center"/>
    </xf>
    <xf numFmtId="0" fontId="50" fillId="0" borderId="0" xfId="0" applyFont="1" applyFill="1"/>
    <xf numFmtId="1" fontId="50" fillId="0" borderId="0" xfId="0" applyNumberFormat="1" applyFont="1" applyFill="1" applyAlignment="1">
      <alignment horizontal="center"/>
    </xf>
    <xf numFmtId="0" fontId="50" fillId="0" borderId="0" xfId="0" applyFont="1"/>
    <xf numFmtId="1" fontId="40" fillId="0" borderId="0" xfId="0" applyNumberFormat="1" applyFont="1" applyFill="1"/>
    <xf numFmtId="0" fontId="50" fillId="0" borderId="0" xfId="0" applyFont="1" applyFill="1" applyAlignment="1">
      <alignment horizontal="center"/>
    </xf>
    <xf numFmtId="2" fontId="40" fillId="0" borderId="0" xfId="0" applyNumberFormat="1" applyFont="1" applyFill="1" applyAlignment="1">
      <alignment horizontal="center"/>
    </xf>
    <xf numFmtId="2" fontId="40" fillId="0" borderId="0" xfId="0" applyNumberFormat="1" applyFont="1" applyAlignment="1">
      <alignment horizontal="center"/>
    </xf>
    <xf numFmtId="2" fontId="50" fillId="0" borderId="0" xfId="0" applyNumberFormat="1" applyFont="1" applyFill="1" applyAlignment="1">
      <alignment horizontal="center"/>
    </xf>
    <xf numFmtId="0" fontId="50" fillId="0" borderId="0" xfId="0" applyFont="1" applyFill="1" applyBorder="1" applyAlignment="1">
      <alignment horizontal="center"/>
    </xf>
    <xf numFmtId="164" fontId="50" fillId="0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23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0" fontId="51" fillId="2" borderId="0" xfId="0" applyFont="1" applyFill="1"/>
    <xf numFmtId="1" fontId="50" fillId="2" borderId="0" xfId="0" applyNumberFormat="1" applyFont="1" applyFill="1" applyAlignment="1">
      <alignment horizontal="center"/>
    </xf>
    <xf numFmtId="1" fontId="3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36" fillId="2" borderId="0" xfId="1" applyNumberFormat="1" applyFont="1" applyFill="1" applyAlignment="1">
      <alignment horizontal="center"/>
    </xf>
    <xf numFmtId="0" fontId="36" fillId="2" borderId="0" xfId="0" applyFont="1" applyFill="1"/>
    <xf numFmtId="2" fontId="50" fillId="2" borderId="0" xfId="0" applyNumberFormat="1" applyFont="1" applyFill="1" applyAlignment="1">
      <alignment horizontal="center"/>
    </xf>
    <xf numFmtId="2" fontId="10" fillId="2" borderId="0" xfId="1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50" fillId="2" borderId="0" xfId="0" applyFont="1" applyFill="1"/>
    <xf numFmtId="2" fontId="0" fillId="2" borderId="0" xfId="0" applyNumberFormat="1" applyFill="1" applyAlignment="1">
      <alignment horizontal="center"/>
    </xf>
    <xf numFmtId="1" fontId="24" fillId="2" borderId="0" xfId="0" applyNumberFormat="1" applyFont="1" applyFill="1" applyAlignment="1">
      <alignment horizontal="center"/>
    </xf>
    <xf numFmtId="0" fontId="19" fillId="2" borderId="0" xfId="0" applyFont="1" applyFill="1"/>
    <xf numFmtId="1" fontId="36" fillId="2" borderId="0" xfId="0" applyNumberFormat="1" applyFont="1" applyFill="1" applyAlignment="1">
      <alignment horizontal="center"/>
    </xf>
    <xf numFmtId="0" fontId="52" fillId="2" borderId="0" xfId="0" applyFont="1" applyFill="1"/>
    <xf numFmtId="0" fontId="52" fillId="2" borderId="0" xfId="0" applyFont="1" applyFill="1" applyBorder="1"/>
    <xf numFmtId="0" fontId="50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40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24" fillId="2" borderId="0" xfId="0" applyFont="1" applyFill="1"/>
    <xf numFmtId="1" fontId="40" fillId="2" borderId="0" xfId="0" applyNumberFormat="1" applyFont="1" applyFill="1" applyAlignment="1">
      <alignment horizontal="center"/>
    </xf>
    <xf numFmtId="2" fontId="36" fillId="0" borderId="0" xfId="0" applyNumberFormat="1" applyFont="1" applyFill="1" applyAlignment="1">
      <alignment horizontal="center"/>
    </xf>
    <xf numFmtId="0" fontId="52" fillId="0" borderId="0" xfId="0" applyFont="1"/>
    <xf numFmtId="2" fontId="24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40" fillId="2" borderId="0" xfId="0" applyFont="1" applyFill="1"/>
    <xf numFmtId="1" fontId="19" fillId="2" borderId="0" xfId="0" applyNumberFormat="1" applyFont="1" applyFill="1" applyAlignment="1">
      <alignment horizontal="center"/>
    </xf>
    <xf numFmtId="2" fontId="19" fillId="2" borderId="0" xfId="0" applyNumberFormat="1" applyFont="1" applyFill="1" applyAlignment="1">
      <alignment horizontal="center"/>
    </xf>
    <xf numFmtId="0" fontId="15" fillId="2" borderId="0" xfId="0" applyFont="1" applyFill="1"/>
    <xf numFmtId="0" fontId="50" fillId="2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1" fontId="0" fillId="2" borderId="0" xfId="0" applyNumberFormat="1" applyFill="1"/>
    <xf numFmtId="2" fontId="10" fillId="2" borderId="0" xfId="0" applyNumberFormat="1" applyFont="1" applyFill="1" applyAlignment="1">
      <alignment horizontal="center"/>
    </xf>
    <xf numFmtId="2" fontId="40" fillId="2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166" fontId="0" fillId="2" borderId="0" xfId="0" applyNumberFormat="1" applyFill="1"/>
    <xf numFmtId="0" fontId="51" fillId="0" borderId="0" xfId="0" applyFont="1" applyFill="1" applyBorder="1"/>
    <xf numFmtId="0" fontId="5" fillId="2" borderId="0" xfId="0" applyFont="1" applyFill="1"/>
    <xf numFmtId="0" fontId="7" fillId="0" borderId="0" xfId="0" applyFont="1" applyFill="1"/>
    <xf numFmtId="0" fontId="7" fillId="0" borderId="0" xfId="0" applyFont="1"/>
    <xf numFmtId="0" fontId="7" fillId="0" borderId="0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Font="1" applyFill="1" applyAlignment="1">
      <alignment horizontal="center"/>
    </xf>
    <xf numFmtId="10" fontId="36" fillId="0" borderId="0" xfId="1" applyNumberFormat="1" applyFont="1" applyFill="1" applyAlignment="1">
      <alignment horizontal="center"/>
    </xf>
    <xf numFmtId="0" fontId="6" fillId="2" borderId="0" xfId="0" applyFont="1" applyFill="1"/>
    <xf numFmtId="1" fontId="7" fillId="0" borderId="0" xfId="0" applyNumberFormat="1" applyFont="1" applyFill="1" applyAlignment="1">
      <alignment horizontal="center"/>
    </xf>
    <xf numFmtId="1" fontId="40" fillId="0" borderId="0" xfId="0" applyNumberFormat="1" applyFont="1" applyFill="1" applyAlignment="1">
      <alignment horizontal="center"/>
    </xf>
    <xf numFmtId="0" fontId="6" fillId="2" borderId="0" xfId="0" applyFont="1" applyFill="1" applyBorder="1"/>
    <xf numFmtId="0" fontId="52" fillId="0" borderId="0" xfId="0" applyFont="1" applyFill="1"/>
    <xf numFmtId="0" fontId="5" fillId="2" borderId="0" xfId="0" applyFont="1" applyFill="1" applyBorder="1"/>
    <xf numFmtId="0" fontId="51" fillId="0" borderId="0" xfId="0" applyFont="1" applyFill="1"/>
    <xf numFmtId="0" fontId="5" fillId="0" borderId="0" xfId="0" applyFont="1" applyFill="1"/>
    <xf numFmtId="0" fontId="34" fillId="0" borderId="0" xfId="0" applyFont="1" applyFill="1"/>
    <xf numFmtId="0" fontId="8" fillId="0" borderId="0" xfId="0" applyFont="1" applyFill="1"/>
    <xf numFmtId="0" fontId="8" fillId="3" borderId="0" xfId="0" applyFont="1" applyFill="1"/>
    <xf numFmtId="1" fontId="24" fillId="3" borderId="0" xfId="0" applyNumberFormat="1" applyFont="1" applyFill="1" applyAlignment="1">
      <alignment horizontal="center"/>
    </xf>
    <xf numFmtId="0" fontId="24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52" fillId="3" borderId="0" xfId="0" applyFont="1" applyFill="1"/>
    <xf numFmtId="1" fontId="0" fillId="3" borderId="0" xfId="0" applyNumberFormat="1" applyFill="1" applyAlignment="1">
      <alignment horizontal="center"/>
    </xf>
    <xf numFmtId="0" fontId="17" fillId="3" borderId="0" xfId="0" applyFont="1" applyFill="1"/>
    <xf numFmtId="1" fontId="40" fillId="3" borderId="0" xfId="0" applyNumberFormat="1" applyFont="1" applyFill="1" applyAlignment="1">
      <alignment horizontal="center"/>
    </xf>
    <xf numFmtId="1" fontId="50" fillId="3" borderId="0" xfId="0" applyNumberFormat="1" applyFont="1" applyFill="1" applyAlignment="1">
      <alignment horizontal="center"/>
    </xf>
    <xf numFmtId="1" fontId="14" fillId="3" borderId="0" xfId="0" applyNumberFormat="1" applyFont="1" applyFill="1" applyAlignment="1">
      <alignment horizontal="center"/>
    </xf>
    <xf numFmtId="0" fontId="14" fillId="3" borderId="0" xfId="0" applyFont="1" applyFill="1"/>
    <xf numFmtId="0" fontId="19" fillId="3" borderId="0" xfId="0" applyFont="1" applyFill="1"/>
    <xf numFmtId="0" fontId="11" fillId="3" borderId="0" xfId="0" applyFont="1" applyFill="1"/>
    <xf numFmtId="1" fontId="10" fillId="3" borderId="0" xfId="0" applyNumberFormat="1" applyFont="1" applyFill="1" applyAlignment="1">
      <alignment horizontal="center"/>
    </xf>
    <xf numFmtId="0" fontId="5" fillId="3" borderId="0" xfId="0" applyFont="1" applyFill="1"/>
    <xf numFmtId="0" fontId="52" fillId="4" borderId="0" xfId="0" applyFont="1" applyFill="1"/>
    <xf numFmtId="0" fontId="6" fillId="4" borderId="0" xfId="0" applyFont="1" applyFill="1"/>
    <xf numFmtId="0" fontId="5" fillId="4" borderId="0" xfId="0" applyFont="1" applyFill="1" applyBorder="1"/>
    <xf numFmtId="0" fontId="5" fillId="4" borderId="0" xfId="0" applyFont="1" applyFill="1"/>
    <xf numFmtId="0" fontId="8" fillId="4" borderId="0" xfId="0" applyFont="1" applyFill="1"/>
    <xf numFmtId="1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/>
    <xf numFmtId="0" fontId="36" fillId="6" borderId="0" xfId="0" applyFont="1" applyFill="1"/>
    <xf numFmtId="1" fontId="0" fillId="6" borderId="0" xfId="0" applyNumberFormat="1" applyFill="1" applyAlignment="1">
      <alignment horizontal="center"/>
    </xf>
    <xf numFmtId="0" fontId="36" fillId="6" borderId="0" xfId="0" applyFont="1" applyFill="1" applyAlignment="1">
      <alignment horizontal="left"/>
    </xf>
    <xf numFmtId="0" fontId="35" fillId="6" borderId="0" xfId="0" applyFont="1" applyFill="1"/>
    <xf numFmtId="3" fontId="35" fillId="6" borderId="0" xfId="0" applyNumberFormat="1" applyFont="1" applyFill="1" applyAlignment="1">
      <alignment horizontal="center"/>
    </xf>
    <xf numFmtId="0" fontId="35" fillId="6" borderId="0" xfId="0" applyFont="1" applyFill="1" applyAlignment="1">
      <alignment horizontal="center"/>
    </xf>
    <xf numFmtId="1" fontId="35" fillId="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24" fillId="6" borderId="0" xfId="0" applyFont="1" applyFill="1"/>
    <xf numFmtId="0" fontId="24" fillId="6" borderId="0" xfId="0" applyFont="1" applyFill="1" applyAlignment="1">
      <alignment horizontal="left"/>
    </xf>
    <xf numFmtId="2" fontId="35" fillId="6" borderId="0" xfId="0" applyNumberFormat="1" applyFont="1" applyFill="1" applyAlignment="1">
      <alignment horizontal="center"/>
    </xf>
    <xf numFmtId="0" fontId="19" fillId="6" borderId="0" xfId="0" applyFont="1" applyFill="1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/>
    </xf>
    <xf numFmtId="1" fontId="19" fillId="6" borderId="0" xfId="0" applyNumberFormat="1" applyFont="1" applyFill="1" applyAlignment="1">
      <alignment horizontal="center"/>
    </xf>
    <xf numFmtId="170" fontId="45" fillId="6" borderId="0" xfId="0" applyNumberFormat="1" applyFont="1" applyFill="1" applyAlignment="1">
      <alignment horizontal="center" vertical="center"/>
    </xf>
    <xf numFmtId="164" fontId="0" fillId="6" borderId="0" xfId="0" applyNumberFormat="1" applyFill="1" applyAlignment="1">
      <alignment horizontal="center"/>
    </xf>
    <xf numFmtId="0" fontId="50" fillId="6" borderId="0" xfId="0" applyFont="1" applyFill="1" applyAlignment="1">
      <alignment horizontal="left"/>
    </xf>
    <xf numFmtId="164" fontId="19" fillId="6" borderId="0" xfId="0" applyNumberFormat="1" applyFont="1" applyFill="1" applyAlignment="1">
      <alignment horizontal="center"/>
    </xf>
    <xf numFmtId="0" fontId="50" fillId="6" borderId="0" xfId="0" applyFont="1" applyFill="1"/>
    <xf numFmtId="1" fontId="10" fillId="6" borderId="0" xfId="0" applyNumberFormat="1" applyFont="1" applyFill="1" applyAlignment="1">
      <alignment horizontal="center"/>
    </xf>
    <xf numFmtId="0" fontId="0" fillId="6" borderId="0" xfId="0" applyFont="1" applyFill="1"/>
    <xf numFmtId="0" fontId="0" fillId="0" borderId="0" xfId="0" applyFont="1" applyAlignment="1">
      <alignment horizontal="left"/>
    </xf>
    <xf numFmtId="0" fontId="0" fillId="6" borderId="0" xfId="0" applyFont="1" applyFill="1" applyAlignment="1">
      <alignment horizontal="left"/>
    </xf>
    <xf numFmtId="0" fontId="3" fillId="2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434"/>
  <sheetViews>
    <sheetView tabSelected="1" topLeftCell="A109" zoomScale="116" zoomScaleNormal="176" zoomScalePageLayoutView="176" workbookViewId="0">
      <selection activeCell="A113" sqref="A113"/>
    </sheetView>
  </sheetViews>
  <sheetFormatPr baseColWidth="10" defaultRowHeight="13" x14ac:dyDescent="0.15"/>
  <cols>
    <col min="1" max="1" width="115" customWidth="1"/>
    <col min="2" max="2" width="17.6640625" style="2" customWidth="1"/>
    <col min="3" max="3" width="30" style="43" customWidth="1"/>
    <col min="4" max="4" width="21.5" customWidth="1"/>
    <col min="5" max="5" width="27.1640625" customWidth="1"/>
    <col min="6" max="6" width="18.83203125" customWidth="1"/>
    <col min="7" max="7" width="24" customWidth="1"/>
    <col min="8" max="8" width="22.33203125" customWidth="1"/>
    <col min="9" max="9" width="16.33203125" customWidth="1"/>
    <col min="10" max="10" width="21.1640625" customWidth="1"/>
    <col min="11" max="11" width="52.5" customWidth="1"/>
    <col min="12" max="12" width="13.6640625" customWidth="1"/>
    <col min="13" max="13" width="13.6640625" bestFit="1" customWidth="1"/>
    <col min="15" max="15" width="31.5" customWidth="1"/>
  </cols>
  <sheetData>
    <row r="1" spans="1:17" ht="20" x14ac:dyDescent="0.2">
      <c r="A1" s="111" t="s">
        <v>62</v>
      </c>
      <c r="B1" s="111"/>
      <c r="C1" s="2"/>
      <c r="D1" s="43"/>
    </row>
    <row r="2" spans="1:17" ht="18" x14ac:dyDescent="0.2">
      <c r="A2" s="36" t="s">
        <v>197</v>
      </c>
      <c r="L2" s="1"/>
    </row>
    <row r="3" spans="1:17" s="273" customFormat="1" x14ac:dyDescent="0.15">
      <c r="A3" s="270"/>
      <c r="B3" s="271"/>
      <c r="C3" s="272"/>
      <c r="L3" s="274"/>
      <c r="P3" s="271"/>
      <c r="Q3" s="271"/>
    </row>
    <row r="4" spans="1:17" x14ac:dyDescent="0.15">
      <c r="A4" s="270" t="s">
        <v>14</v>
      </c>
      <c r="L4" s="1"/>
      <c r="P4" s="2"/>
      <c r="Q4" s="2"/>
    </row>
    <row r="5" spans="1:17" x14ac:dyDescent="0.15">
      <c r="A5" s="270"/>
      <c r="B5" s="168">
        <v>1950</v>
      </c>
      <c r="C5" s="2">
        <v>1990</v>
      </c>
      <c r="D5" s="44">
        <v>2015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  <c r="J5" s="2">
        <v>2021</v>
      </c>
      <c r="K5" s="2">
        <v>2025</v>
      </c>
      <c r="L5" s="1"/>
      <c r="P5" s="2">
        <v>2014</v>
      </c>
      <c r="Q5" s="2">
        <v>2011</v>
      </c>
    </row>
    <row r="6" spans="1:17" s="277" customFormat="1" x14ac:dyDescent="0.15">
      <c r="A6" s="278" t="s">
        <v>71</v>
      </c>
      <c r="B6" s="278"/>
      <c r="C6" s="275">
        <v>22860</v>
      </c>
      <c r="D6" s="275">
        <v>75220</v>
      </c>
      <c r="E6" s="275">
        <v>74490</v>
      </c>
      <c r="F6" s="275">
        <v>81440</v>
      </c>
      <c r="G6" s="275">
        <v>86500</v>
      </c>
      <c r="H6" s="275">
        <v>87730</v>
      </c>
      <c r="I6" s="275">
        <v>85220</v>
      </c>
      <c r="J6" s="275">
        <v>96880</v>
      </c>
      <c r="K6" s="279">
        <f>H6+(2025-2019)*((H6-Q6)/8)</f>
        <v>98117.5</v>
      </c>
      <c r="L6" s="280" t="s">
        <v>73</v>
      </c>
      <c r="P6" s="275"/>
      <c r="Q6" s="275">
        <v>73880</v>
      </c>
    </row>
    <row r="7" spans="1:17" s="277" customFormat="1" x14ac:dyDescent="0.15">
      <c r="A7" s="281" t="s">
        <v>125</v>
      </c>
      <c r="B7" s="282">
        <f>B379</f>
        <v>9434.2765820896129</v>
      </c>
      <c r="C7" s="283">
        <v>35960</v>
      </c>
      <c r="D7" s="283">
        <v>75190</v>
      </c>
      <c r="E7" s="283">
        <v>77300</v>
      </c>
      <c r="F7" s="283">
        <v>79910</v>
      </c>
      <c r="G7" s="283">
        <v>82540</v>
      </c>
      <c r="H7" s="283">
        <v>84680</v>
      </c>
      <c r="I7" s="283">
        <v>82040</v>
      </c>
      <c r="J7" s="283">
        <v>86860</v>
      </c>
      <c r="K7" s="275">
        <f>H7+(2025-2019)*((H7-Q7)/8)</f>
        <v>97910</v>
      </c>
      <c r="L7" s="280" t="s">
        <v>73</v>
      </c>
      <c r="P7" s="275">
        <v>72940</v>
      </c>
      <c r="Q7" s="275">
        <v>67040</v>
      </c>
    </row>
    <row r="8" spans="1:17" s="277" customFormat="1" x14ac:dyDescent="0.15">
      <c r="A8" s="281" t="s">
        <v>126</v>
      </c>
      <c r="B8" s="282">
        <f>B7/1.258</f>
        <v>7499.4249460171804</v>
      </c>
      <c r="C8" s="284">
        <f>C7/1.258</f>
        <v>28585.055643879172</v>
      </c>
      <c r="D8" s="284">
        <f>D7/1.258</f>
        <v>59769.475357710653</v>
      </c>
      <c r="E8" s="284">
        <f t="shared" ref="E8:K8" si="0">E7/1.258</f>
        <v>61446.740858505567</v>
      </c>
      <c r="F8" s="284">
        <f t="shared" si="0"/>
        <v>63521.462639109697</v>
      </c>
      <c r="G8" s="284">
        <f t="shared" si="0"/>
        <v>65612.082670906195</v>
      </c>
      <c r="H8" s="284">
        <f t="shared" si="0"/>
        <v>67313.195548489661</v>
      </c>
      <c r="I8" s="284">
        <f t="shared" si="0"/>
        <v>65214.626391096979</v>
      </c>
      <c r="J8" s="284">
        <f t="shared" si="0"/>
        <v>69046.104928457862</v>
      </c>
      <c r="K8" s="284">
        <f t="shared" si="0"/>
        <v>77829.888712241649</v>
      </c>
      <c r="L8" s="276" t="s">
        <v>392</v>
      </c>
      <c r="P8" s="279">
        <f>P7/1.258</f>
        <v>57980.922098569157</v>
      </c>
      <c r="Q8" s="279">
        <f>Q7/1.258</f>
        <v>53290.93799682035</v>
      </c>
    </row>
    <row r="9" spans="1:17" s="277" customFormat="1" x14ac:dyDescent="0.15">
      <c r="A9" s="299" t="s">
        <v>72</v>
      </c>
      <c r="B9" s="285"/>
      <c r="C9" s="283"/>
      <c r="D9" s="283"/>
      <c r="E9" s="281"/>
      <c r="F9" s="281"/>
      <c r="G9" s="283"/>
      <c r="H9" s="283"/>
      <c r="I9" s="283"/>
      <c r="J9" s="283"/>
      <c r="K9" s="283"/>
      <c r="L9" s="276" t="s">
        <v>179</v>
      </c>
    </row>
    <row r="10" spans="1:17" s="277" customFormat="1" x14ac:dyDescent="0.15">
      <c r="A10" s="281" t="s">
        <v>201</v>
      </c>
      <c r="B10" s="285">
        <f>B380</f>
        <v>8571.4285714285725</v>
      </c>
      <c r="C10" s="283">
        <v>31300</v>
      </c>
      <c r="D10" s="283">
        <v>48100</v>
      </c>
      <c r="E10" s="283">
        <v>48800</v>
      </c>
      <c r="F10" s="283">
        <v>49500</v>
      </c>
      <c r="G10" s="283">
        <v>50700</v>
      </c>
      <c r="H10" s="283">
        <v>51100</v>
      </c>
      <c r="I10" s="283">
        <v>52590</v>
      </c>
      <c r="J10" s="283">
        <v>54590</v>
      </c>
      <c r="K10" s="283">
        <v>62700</v>
      </c>
      <c r="L10" s="286" t="s">
        <v>123</v>
      </c>
    </row>
    <row r="11" spans="1:17" s="277" customFormat="1" x14ac:dyDescent="0.15">
      <c r="A11" s="281" t="s">
        <v>124</v>
      </c>
      <c r="B11" s="285">
        <f>B381</f>
        <v>2499</v>
      </c>
      <c r="C11" s="283">
        <v>5316</v>
      </c>
      <c r="D11" s="283">
        <v>7427</v>
      </c>
      <c r="E11" s="283">
        <v>7513</v>
      </c>
      <c r="F11" s="283">
        <v>7600</v>
      </c>
      <c r="G11" s="283">
        <v>7684</v>
      </c>
      <c r="H11" s="283">
        <v>7765</v>
      </c>
      <c r="I11" s="283">
        <v>7841</v>
      </c>
      <c r="J11" s="283">
        <v>7909</v>
      </c>
      <c r="K11" s="283">
        <v>8192</v>
      </c>
      <c r="L11" s="287" t="s">
        <v>91</v>
      </c>
    </row>
    <row r="12" spans="1:17" s="277" customFormat="1" x14ac:dyDescent="0.15">
      <c r="A12" s="278" t="s">
        <v>68</v>
      </c>
      <c r="B12" s="285">
        <f>B382</f>
        <v>38.4</v>
      </c>
      <c r="C12" s="283">
        <v>48.12</v>
      </c>
      <c r="D12" s="283">
        <v>47.26</v>
      </c>
      <c r="E12" s="283">
        <v>47.23</v>
      </c>
      <c r="F12" s="283">
        <v>47.59</v>
      </c>
      <c r="G12" s="283">
        <v>47.44</v>
      </c>
      <c r="H12" s="283">
        <v>47.46</v>
      </c>
      <c r="I12" s="283">
        <v>47.39</v>
      </c>
      <c r="J12" s="288">
        <f>I12+(I12-47.61)/8</f>
        <v>47.362499999999997</v>
      </c>
      <c r="K12" s="288">
        <f>I12+(K5-I5)*(I12-47.61)/8</f>
        <v>47.252499999999998</v>
      </c>
      <c r="L12" s="301" t="s">
        <v>20</v>
      </c>
    </row>
    <row r="13" spans="1:17" x14ac:dyDescent="0.15">
      <c r="B13"/>
      <c r="C13" s="2"/>
      <c r="D13" s="43"/>
    </row>
    <row r="14" spans="1:17" x14ac:dyDescent="0.15">
      <c r="A14" s="110" t="s">
        <v>61</v>
      </c>
      <c r="B14" s="110"/>
      <c r="C14" s="65"/>
      <c r="D14" s="135"/>
      <c r="E14" s="61"/>
      <c r="F14" s="61"/>
      <c r="G14" s="61"/>
      <c r="H14" s="61"/>
      <c r="I14" s="61"/>
      <c r="J14" s="61"/>
      <c r="K14" s="61"/>
    </row>
    <row r="15" spans="1:17" x14ac:dyDescent="0.15">
      <c r="A15" s="110"/>
      <c r="B15" s="110"/>
      <c r="C15" s="65"/>
      <c r="D15" s="135"/>
      <c r="E15" s="61"/>
      <c r="F15" s="61"/>
      <c r="G15" s="61"/>
      <c r="H15" s="61"/>
      <c r="I15" s="61"/>
      <c r="J15" s="61"/>
      <c r="K15" s="61"/>
    </row>
    <row r="16" spans="1:17" x14ac:dyDescent="0.15">
      <c r="A16" s="80" t="s">
        <v>203</v>
      </c>
      <c r="B16" s="80"/>
      <c r="C16" s="65">
        <v>1990</v>
      </c>
      <c r="D16" s="134">
        <v>2015</v>
      </c>
      <c r="E16" s="61"/>
      <c r="F16" s="61"/>
      <c r="G16" s="65"/>
      <c r="H16" s="65">
        <v>2019</v>
      </c>
      <c r="I16" s="300" t="s">
        <v>394</v>
      </c>
      <c r="J16" s="65"/>
      <c r="K16" s="65"/>
    </row>
    <row r="17" spans="1:12" x14ac:dyDescent="0.15">
      <c r="A17" s="101" t="s">
        <v>281</v>
      </c>
      <c r="B17" s="101"/>
      <c r="C17" s="65"/>
      <c r="D17" s="87">
        <f>5700*D10/H10</f>
        <v>5365.3620352250491</v>
      </c>
      <c r="E17" s="61"/>
      <c r="F17" s="61"/>
      <c r="G17" s="65"/>
      <c r="H17" s="66">
        <f>5900*84680/87650</f>
        <v>5700.0798630918425</v>
      </c>
      <c r="I17" s="64"/>
      <c r="J17" s="65"/>
      <c r="K17" s="65"/>
    </row>
    <row r="18" spans="1:12" x14ac:dyDescent="0.15">
      <c r="A18" s="80" t="s">
        <v>193</v>
      </c>
      <c r="B18" s="80"/>
      <c r="C18" s="65"/>
      <c r="D18" s="134"/>
      <c r="E18" s="134"/>
      <c r="F18" s="65"/>
      <c r="G18" s="65"/>
      <c r="H18" s="300" t="s">
        <v>393</v>
      </c>
      <c r="I18" s="61"/>
      <c r="J18" s="65"/>
      <c r="K18" s="65"/>
    </row>
    <row r="19" spans="1:12" x14ac:dyDescent="0.15">
      <c r="A19" s="61"/>
      <c r="B19" s="61"/>
      <c r="C19" s="65"/>
      <c r="D19" s="134"/>
      <c r="E19" s="65"/>
      <c r="F19" s="65"/>
      <c r="G19" s="65"/>
      <c r="H19" s="65"/>
      <c r="I19" s="65"/>
      <c r="J19" s="65"/>
      <c r="K19" s="65"/>
    </row>
    <row r="20" spans="1:12" x14ac:dyDescent="0.15">
      <c r="A20" s="61" t="s">
        <v>249</v>
      </c>
      <c r="B20" s="61"/>
      <c r="C20" s="65"/>
      <c r="D20" s="134">
        <v>2015</v>
      </c>
      <c r="E20" s="65">
        <v>2016</v>
      </c>
      <c r="F20" s="65">
        <v>2017</v>
      </c>
      <c r="G20" s="65">
        <v>2018</v>
      </c>
      <c r="H20" s="65">
        <v>2019</v>
      </c>
      <c r="I20" s="65">
        <v>2020</v>
      </c>
      <c r="J20" s="65">
        <v>2021</v>
      </c>
      <c r="K20" s="65">
        <v>2025</v>
      </c>
    </row>
    <row r="21" spans="1:12" x14ac:dyDescent="0.15">
      <c r="A21" s="97" t="s">
        <v>54</v>
      </c>
      <c r="B21" s="171">
        <f>D21*B10/D10</f>
        <v>956.10847078557458</v>
      </c>
      <c r="C21" s="66">
        <f>D21*C10/D10</f>
        <v>3491.3894324853231</v>
      </c>
      <c r="D21" s="87">
        <f>D17</f>
        <v>5365.3620352250491</v>
      </c>
      <c r="E21" s="66">
        <f>D21*E10/D10</f>
        <v>5443.4442270058707</v>
      </c>
      <c r="F21" s="66">
        <f>D21*F10/D10</f>
        <v>5521.5264187866924</v>
      </c>
      <c r="G21" s="66">
        <f>D21*G10/D10</f>
        <v>5655.3816046966731</v>
      </c>
      <c r="H21" s="66">
        <f>D21*H10/D10</f>
        <v>5700</v>
      </c>
      <c r="I21" s="66">
        <f>D21*I10/D10</f>
        <v>5866.203522504893</v>
      </c>
      <c r="J21" s="66">
        <f>D21*J10/D10</f>
        <v>6089.2954990215258</v>
      </c>
      <c r="K21" s="66">
        <f>D21*K10/D10</f>
        <v>6993.9334637964776</v>
      </c>
    </row>
    <row r="22" spans="1:12" x14ac:dyDescent="0.15">
      <c r="A22" s="61" t="s">
        <v>191</v>
      </c>
      <c r="B22" s="61"/>
      <c r="C22" s="66"/>
      <c r="D22" s="134"/>
      <c r="E22" s="66"/>
      <c r="F22" s="66"/>
      <c r="G22" s="66"/>
      <c r="H22" s="66"/>
      <c r="I22" s="66"/>
      <c r="J22" s="66"/>
      <c r="K22" s="66"/>
    </row>
    <row r="23" spans="1:12" x14ac:dyDescent="0.15">
      <c r="A23" s="61"/>
      <c r="B23" s="61"/>
      <c r="C23" s="65"/>
      <c r="D23" s="135"/>
      <c r="E23" s="61"/>
      <c r="F23" s="61"/>
      <c r="G23" s="61"/>
      <c r="H23" s="61"/>
      <c r="I23" s="61"/>
      <c r="J23" s="61"/>
      <c r="K23" s="61"/>
    </row>
    <row r="24" spans="1:12" x14ac:dyDescent="0.15">
      <c r="A24" s="58" t="s">
        <v>279</v>
      </c>
      <c r="B24" s="58"/>
      <c r="D24" s="136" t="s">
        <v>180</v>
      </c>
      <c r="E24" s="63" t="s">
        <v>219</v>
      </c>
      <c r="F24" s="63" t="s">
        <v>220</v>
      </c>
      <c r="G24" s="58"/>
      <c r="H24" s="58" t="s">
        <v>278</v>
      </c>
      <c r="I24" s="58"/>
      <c r="J24" s="58"/>
      <c r="K24" s="58"/>
    </row>
    <row r="25" spans="1:12" x14ac:dyDescent="0.15">
      <c r="A25" s="58" t="s">
        <v>90</v>
      </c>
      <c r="B25" s="58"/>
      <c r="D25" s="137">
        <v>0.41</v>
      </c>
      <c r="E25" s="67">
        <v>0.46</v>
      </c>
      <c r="F25" s="67">
        <v>0.09</v>
      </c>
      <c r="G25" s="58"/>
      <c r="H25" s="62" t="s">
        <v>96</v>
      </c>
      <c r="I25" s="58"/>
      <c r="J25" s="58"/>
      <c r="K25" s="58"/>
      <c r="L25" t="s">
        <v>188</v>
      </c>
    </row>
    <row r="26" spans="1:12" s="43" customFormat="1" x14ac:dyDescent="0.15">
      <c r="A26" s="244" t="s">
        <v>325</v>
      </c>
      <c r="B26" s="244"/>
      <c r="D26" s="138">
        <f>D25*H17/0.96</f>
        <v>2434.4091081954743</v>
      </c>
      <c r="E26" s="138">
        <f>E25*H17/0.96</f>
        <v>2731.2882677315079</v>
      </c>
      <c r="F26" s="138">
        <f>F25*H17/0.96</f>
        <v>534.38248716486032</v>
      </c>
      <c r="G26" s="244"/>
      <c r="H26" s="138">
        <f>(D26+E26+F26)</f>
        <v>5700.0798630918425</v>
      </c>
      <c r="I26" s="244" t="s">
        <v>299</v>
      </c>
      <c r="J26" s="244"/>
      <c r="K26" s="244"/>
    </row>
    <row r="27" spans="1:12" x14ac:dyDescent="0.15">
      <c r="A27" s="58" t="s">
        <v>300</v>
      </c>
      <c r="B27" s="58"/>
      <c r="C27" s="63"/>
      <c r="D27" s="137">
        <v>0.22</v>
      </c>
      <c r="E27" s="67">
        <v>0.56999999999999995</v>
      </c>
      <c r="F27" s="67">
        <v>0.57999999999999996</v>
      </c>
      <c r="G27" s="58"/>
      <c r="H27" s="63"/>
      <c r="I27" s="58"/>
      <c r="J27" s="58"/>
      <c r="K27" s="58"/>
      <c r="L27" t="s">
        <v>189</v>
      </c>
    </row>
    <row r="28" spans="1:12" x14ac:dyDescent="0.15">
      <c r="A28" s="58" t="s">
        <v>280</v>
      </c>
      <c r="B28" s="58"/>
      <c r="C28" s="63"/>
      <c r="D28" s="138">
        <f>D26/(1-D27)</f>
        <v>3121.0373181993259</v>
      </c>
      <c r="E28" s="68">
        <f>E26/(1-E27)</f>
        <v>6351.8331807709474</v>
      </c>
      <c r="F28" s="68">
        <f>F26/(1-F27)</f>
        <v>1272.3392551544291</v>
      </c>
      <c r="G28" s="58"/>
      <c r="H28" s="68">
        <f>(D28+E28+F28)</f>
        <v>10745.209754124702</v>
      </c>
      <c r="I28" s="58"/>
      <c r="J28" s="58"/>
      <c r="K28" s="58"/>
    </row>
    <row r="29" spans="1:12" x14ac:dyDescent="0.15">
      <c r="A29" s="58" t="s">
        <v>301</v>
      </c>
      <c r="B29" s="58"/>
      <c r="C29" s="63"/>
      <c r="D29" s="138">
        <f>D28+D26</f>
        <v>5555.4464263948003</v>
      </c>
      <c r="E29" s="68">
        <f>E28+E26</f>
        <v>9083.1214485024557</v>
      </c>
      <c r="F29" s="68">
        <f>F28+F26</f>
        <v>1806.7217423192894</v>
      </c>
      <c r="G29" s="58"/>
      <c r="H29" s="68">
        <f>(D29+E29+F29)</f>
        <v>16445.289617216546</v>
      </c>
      <c r="I29" s="58"/>
      <c r="J29" s="58"/>
      <c r="K29" s="58"/>
    </row>
    <row r="30" spans="1:12" x14ac:dyDescent="0.15">
      <c r="A30" s="61"/>
      <c r="B30" s="61"/>
      <c r="C30" s="65"/>
      <c r="D30" s="87"/>
      <c r="E30" s="66"/>
      <c r="F30" s="66"/>
      <c r="G30" s="61"/>
      <c r="H30" s="66"/>
      <c r="I30" s="61"/>
      <c r="J30" s="61"/>
      <c r="K30" s="61"/>
    </row>
    <row r="31" spans="1:12" x14ac:dyDescent="0.15">
      <c r="A31" s="61"/>
      <c r="B31" s="65">
        <v>1950</v>
      </c>
      <c r="C31" s="65">
        <v>1990</v>
      </c>
      <c r="D31" s="134">
        <v>2015</v>
      </c>
      <c r="E31" s="65">
        <v>2016</v>
      </c>
      <c r="F31" s="65">
        <v>2017</v>
      </c>
      <c r="G31" s="65">
        <v>2018</v>
      </c>
      <c r="H31" s="65">
        <v>2019</v>
      </c>
      <c r="I31" s="65">
        <v>2020</v>
      </c>
      <c r="J31" s="65">
        <v>2021</v>
      </c>
      <c r="K31" s="65">
        <v>2025</v>
      </c>
    </row>
    <row r="32" spans="1:12" x14ac:dyDescent="0.15">
      <c r="A32" s="61" t="s">
        <v>122</v>
      </c>
      <c r="B32" s="61"/>
      <c r="C32" s="66">
        <f>10745*C10/51100</f>
        <v>6581.5753424657532</v>
      </c>
      <c r="D32" s="66">
        <f>10745*D10/51100</f>
        <v>10114.17808219178</v>
      </c>
      <c r="E32" s="66">
        <f t="shared" ref="E32:K32" si="1">10745*E10/51100</f>
        <v>10261.369863013699</v>
      </c>
      <c r="F32" s="66">
        <f t="shared" si="1"/>
        <v>10408.561643835616</v>
      </c>
      <c r="G32" s="66">
        <f t="shared" si="1"/>
        <v>10660.890410958904</v>
      </c>
      <c r="H32" s="66">
        <f t="shared" si="1"/>
        <v>10745</v>
      </c>
      <c r="I32" s="66">
        <f t="shared" si="1"/>
        <v>11058.308219178081</v>
      </c>
      <c r="J32" s="66">
        <f t="shared" si="1"/>
        <v>11478.856164383562</v>
      </c>
      <c r="K32" s="66">
        <f t="shared" si="1"/>
        <v>13184.17808219178</v>
      </c>
      <c r="L32" s="231" t="s">
        <v>359</v>
      </c>
    </row>
    <row r="33" spans="1:22" s="185" customFormat="1" x14ac:dyDescent="0.15">
      <c r="A33" s="186" t="s">
        <v>286</v>
      </c>
      <c r="B33" s="187">
        <f>B21</f>
        <v>956.10847078557458</v>
      </c>
      <c r="C33" s="188">
        <f>B21+40*B21+(C21-B21)*40/2</f>
        <v>89906.066536203522</v>
      </c>
      <c r="D33" s="188">
        <f>C33+25*C21+(D21-C21)*25/2</f>
        <v>200615.45988258318</v>
      </c>
      <c r="E33" s="188">
        <f>D33+E21</f>
        <v>206058.90410958906</v>
      </c>
      <c r="F33" s="188">
        <f t="shared" ref="F33:J33" si="2">E33+F21</f>
        <v>211580.43052837576</v>
      </c>
      <c r="G33" s="188">
        <f t="shared" si="2"/>
        <v>217235.81213307244</v>
      </c>
      <c r="H33" s="188">
        <f t="shared" si="2"/>
        <v>222935.81213307244</v>
      </c>
      <c r="I33" s="188">
        <f t="shared" si="2"/>
        <v>228802.01565557733</v>
      </c>
      <c r="J33" s="188">
        <f t="shared" si="2"/>
        <v>234891.31115459886</v>
      </c>
      <c r="K33" s="188">
        <f>J33+4*J21+(K21-J21)*4/2</f>
        <v>261057.7690802349</v>
      </c>
    </row>
    <row r="34" spans="1:22" x14ac:dyDescent="0.15">
      <c r="B34"/>
      <c r="C34" s="2"/>
      <c r="D34" s="43"/>
    </row>
    <row r="35" spans="1:22" s="43" customFormat="1" x14ac:dyDescent="0.15">
      <c r="A35" s="172" t="s">
        <v>287</v>
      </c>
      <c r="B35" s="79">
        <f>C35*B380/C10</f>
        <v>522.77498858968511</v>
      </c>
      <c r="C35" s="44">
        <v>1909</v>
      </c>
      <c r="D35" s="44">
        <v>2882</v>
      </c>
      <c r="E35" s="44">
        <v>4645</v>
      </c>
      <c r="F35" s="44">
        <v>4470</v>
      </c>
      <c r="G35" s="44">
        <v>5084</v>
      </c>
      <c r="H35" s="44">
        <v>6015</v>
      </c>
      <c r="I35" s="53">
        <f>H35*K10/H10</f>
        <v>7380.4403131115459</v>
      </c>
      <c r="J35" s="54">
        <f>I35*K10/H10</f>
        <v>9055.8435935830512</v>
      </c>
      <c r="K35" s="53">
        <f>J35*K10/H10</f>
        <v>11111.573254748677</v>
      </c>
      <c r="L35" s="172" t="s">
        <v>221</v>
      </c>
      <c r="T35" s="44"/>
      <c r="U35" s="44"/>
      <c r="V35" s="44"/>
    </row>
    <row r="36" spans="1:22" s="43" customFormat="1" x14ac:dyDescent="0.15">
      <c r="A36" s="172" t="s">
        <v>288</v>
      </c>
      <c r="B36" s="173">
        <f>(B35*60*(75190/87730)*(B7/D7)/1000)</f>
        <v>3.3730791058159113</v>
      </c>
      <c r="C36" s="173">
        <f>(C35*60*(75190/87730)*(C7/E7)/1000)</f>
        <v>45.66771934411841</v>
      </c>
      <c r="D36" s="162">
        <f>(C35+25*C35+(D35-C35)*25/2)*(60/1000)</f>
        <v>3707.79</v>
      </c>
      <c r="E36" s="162">
        <f t="shared" ref="E36:J36" si="3">D36+E35*60/1000</f>
        <v>3986.49</v>
      </c>
      <c r="F36" s="162">
        <f t="shared" si="3"/>
        <v>4254.6899999999996</v>
      </c>
      <c r="G36" s="162">
        <f t="shared" si="3"/>
        <v>4559.7299999999996</v>
      </c>
      <c r="H36" s="162">
        <f>G36+H35*60/1000</f>
        <v>4920.6299999999992</v>
      </c>
      <c r="I36" s="162">
        <f t="shared" si="3"/>
        <v>5363.4564187866918</v>
      </c>
      <c r="J36" s="162">
        <f t="shared" si="3"/>
        <v>5906.8070344016751</v>
      </c>
      <c r="K36" s="162">
        <f>J36+((K35-J35)*(4/2))*(60/1000)</f>
        <v>6153.4945937415505</v>
      </c>
      <c r="L36" s="99" t="s">
        <v>82</v>
      </c>
      <c r="T36" s="44"/>
      <c r="U36" s="44"/>
      <c r="V36" s="44"/>
    </row>
    <row r="37" spans="1:22" s="185" customFormat="1" x14ac:dyDescent="0.15">
      <c r="A37" s="186" t="s">
        <v>291</v>
      </c>
      <c r="B37" s="184">
        <f>B36</f>
        <v>3.3730791058159113</v>
      </c>
      <c r="C37" s="184">
        <f>B37+40*B37+(C36-B36)*40/2</f>
        <v>984.18904810450226</v>
      </c>
      <c r="D37" s="184">
        <f>C37+D36</f>
        <v>4691.979048104502</v>
      </c>
      <c r="E37" s="184">
        <f t="shared" ref="E37:I37" si="4">D37+E36</f>
        <v>8678.4690481045018</v>
      </c>
      <c r="F37" s="184">
        <f t="shared" si="4"/>
        <v>12933.159048104502</v>
      </c>
      <c r="G37" s="184">
        <f t="shared" si="4"/>
        <v>17492.889048104502</v>
      </c>
      <c r="H37" s="184">
        <f t="shared" si="4"/>
        <v>22413.519048104499</v>
      </c>
      <c r="I37" s="184">
        <f t="shared" si="4"/>
        <v>27776.975466891192</v>
      </c>
      <c r="J37" s="184">
        <f>I37+J36</f>
        <v>33683.782501292866</v>
      </c>
      <c r="K37" s="184">
        <f>J37+4*J36+(K36-J36)*4/2</f>
        <v>57804.385757579315</v>
      </c>
      <c r="T37" s="189"/>
      <c r="U37" s="189"/>
      <c r="V37" s="189"/>
    </row>
    <row r="38" spans="1:22" x14ac:dyDescent="0.15">
      <c r="B38"/>
      <c r="C38" s="2"/>
      <c r="D38" s="43"/>
    </row>
    <row r="39" spans="1:22" x14ac:dyDescent="0.15">
      <c r="A39" s="172" t="s">
        <v>185</v>
      </c>
      <c r="B39" s="73">
        <f>C39*B7/C7</f>
        <v>0.47171382910448073</v>
      </c>
      <c r="C39" s="4">
        <v>1.798</v>
      </c>
      <c r="D39" s="131">
        <v>3.258</v>
      </c>
      <c r="E39" s="4">
        <v>3.383</v>
      </c>
      <c r="F39" s="4">
        <v>3.32</v>
      </c>
      <c r="G39" s="4">
        <v>3.2949999999999999</v>
      </c>
      <c r="H39" s="4">
        <v>3.3849999999999998</v>
      </c>
      <c r="I39" s="4">
        <v>3.4020000000000001</v>
      </c>
      <c r="J39" s="4">
        <v>3.5350000000000001</v>
      </c>
      <c r="K39" s="4">
        <f>J39*K7/J7</f>
        <v>3.984709302325582</v>
      </c>
      <c r="L39" s="174" t="s">
        <v>211</v>
      </c>
    </row>
    <row r="40" spans="1:22" s="43" customFormat="1" x14ac:dyDescent="0.15">
      <c r="A40" s="95" t="s">
        <v>397</v>
      </c>
      <c r="B40" s="177">
        <f>C40*B7/C7</f>
        <v>2.5205887157868645</v>
      </c>
      <c r="C40" s="163">
        <f t="shared" ref="C40:K40" si="5">B271</f>
        <v>9.6075591415001274</v>
      </c>
      <c r="D40" s="163">
        <f t="shared" si="5"/>
        <v>50.242296208411119</v>
      </c>
      <c r="E40" s="163">
        <f t="shared" si="5"/>
        <v>58.876055040945104</v>
      </c>
      <c r="F40" s="163">
        <f t="shared" si="5"/>
        <v>59.001097031769206</v>
      </c>
      <c r="G40" s="163">
        <f t="shared" si="5"/>
        <v>59.126139022593307</v>
      </c>
      <c r="H40" s="163">
        <f t="shared" si="5"/>
        <v>60.659091984894616</v>
      </c>
      <c r="I40" s="163">
        <f t="shared" si="5"/>
        <v>58.767972442616376</v>
      </c>
      <c r="J40" s="163">
        <f t="shared" si="5"/>
        <v>62.220698273594088</v>
      </c>
      <c r="K40" s="163">
        <f t="shared" si="5"/>
        <v>70.136179691084479</v>
      </c>
      <c r="L40" s="70" t="s">
        <v>74</v>
      </c>
      <c r="T40" s="44"/>
      <c r="U40" s="44"/>
      <c r="V40" s="44"/>
    </row>
    <row r="41" spans="1:22" s="99" customFormat="1" x14ac:dyDescent="0.15">
      <c r="A41" s="95" t="s">
        <v>398</v>
      </c>
      <c r="B41" s="179">
        <f t="shared" ref="B41:K41" si="6">0.288*B40</f>
        <v>0.72592955014661698</v>
      </c>
      <c r="C41" s="75">
        <f>0.288*C40</f>
        <v>2.7669770327520364</v>
      </c>
      <c r="D41" s="139">
        <f>0.288*D40</f>
        <v>14.469781308022402</v>
      </c>
      <c r="E41" s="139">
        <f t="shared" si="6"/>
        <v>16.956303851792189</v>
      </c>
      <c r="F41" s="139">
        <f t="shared" si="6"/>
        <v>16.992315945149532</v>
      </c>
      <c r="G41" s="139">
        <f t="shared" si="6"/>
        <v>17.028328038506871</v>
      </c>
      <c r="H41" s="139">
        <f t="shared" si="6"/>
        <v>17.469818491649647</v>
      </c>
      <c r="I41" s="139">
        <f t="shared" si="6"/>
        <v>16.925176063473515</v>
      </c>
      <c r="J41" s="139">
        <f t="shared" si="6"/>
        <v>17.919561102795097</v>
      </c>
      <c r="K41" s="139">
        <f t="shared" si="6"/>
        <v>20.199219751032327</v>
      </c>
      <c r="T41" s="140"/>
      <c r="U41" s="140"/>
      <c r="V41" s="140"/>
    </row>
    <row r="42" spans="1:22" s="185" customFormat="1" x14ac:dyDescent="0.15">
      <c r="A42" s="186" t="s">
        <v>343</v>
      </c>
      <c r="B42" s="198">
        <f>B41</f>
        <v>0.72592955014661698</v>
      </c>
      <c r="C42" s="184">
        <f>B42+40*B41+(C41-B41)*40/2</f>
        <v>70.584061208119692</v>
      </c>
      <c r="D42" s="190">
        <f>(C42+25*C41+(D41-C41)*25/2 )</f>
        <v>286.04354046780014</v>
      </c>
      <c r="E42" s="190">
        <f>D42+E41</f>
        <v>302.99984431959234</v>
      </c>
      <c r="F42" s="190">
        <f>E42+F41</f>
        <v>319.99216026474187</v>
      </c>
      <c r="G42" s="190">
        <f t="shared" ref="G42:I42" si="7">F42+G41</f>
        <v>337.02048830324873</v>
      </c>
      <c r="H42" s="190">
        <f t="shared" si="7"/>
        <v>354.4903067948984</v>
      </c>
      <c r="I42" s="190">
        <f t="shared" si="7"/>
        <v>371.41548285837189</v>
      </c>
      <c r="J42" s="190">
        <f>I42+J41</f>
        <v>389.335043961167</v>
      </c>
      <c r="K42" s="190">
        <f>J42+4*J41+((K41-J41)*4/2)</f>
        <v>465.57260566882189</v>
      </c>
      <c r="L42" s="191" t="s">
        <v>118</v>
      </c>
      <c r="T42" s="189"/>
      <c r="U42" s="189"/>
      <c r="V42" s="189"/>
    </row>
    <row r="43" spans="1:22" x14ac:dyDescent="0.15">
      <c r="B43" s="179"/>
      <c r="C43" s="2"/>
      <c r="D43" s="43"/>
    </row>
    <row r="44" spans="1:22" s="43" customFormat="1" x14ac:dyDescent="0.15">
      <c r="A44" s="172" t="s">
        <v>309</v>
      </c>
      <c r="B44" s="213">
        <f>B45/0.288</f>
        <v>8.0943024512340642</v>
      </c>
      <c r="C44" s="75">
        <f>C293</f>
        <v>30.852510376784721</v>
      </c>
      <c r="D44" s="75">
        <f>D293*D7/D6</f>
        <v>75.988247507843667</v>
      </c>
      <c r="E44" s="75">
        <f>E293*D7/D6</f>
        <v>56.832882292209526</v>
      </c>
      <c r="F44" s="75">
        <f>F293*F7/F6</f>
        <v>57.964646583865417</v>
      </c>
      <c r="G44" s="75">
        <f>G293*G7/G6</f>
        <v>63.727228423352607</v>
      </c>
      <c r="H44" s="75">
        <f>H293*H7/H6</f>
        <v>58.220566549185001</v>
      </c>
      <c r="I44" s="75">
        <f>I293</f>
        <v>59.368775999999997</v>
      </c>
      <c r="J44" s="75">
        <f>J293</f>
        <v>107.26729800000001</v>
      </c>
      <c r="K44" s="75">
        <f>J44*(K10/J10)*(K7/K6)</f>
        <v>122.94259174857628</v>
      </c>
      <c r="L44" s="70" t="s">
        <v>121</v>
      </c>
      <c r="T44" s="44"/>
      <c r="U44" s="44"/>
      <c r="V44" s="44"/>
    </row>
    <row r="45" spans="1:22" x14ac:dyDescent="0.15">
      <c r="A45" s="97" t="s">
        <v>78</v>
      </c>
      <c r="B45" s="178">
        <f>C45*B39/C39</f>
        <v>2.3311591059554102</v>
      </c>
      <c r="C45" s="77">
        <f>0.288*C44</f>
        <v>8.8855229885139995</v>
      </c>
      <c r="D45" s="141">
        <f>0.288*D44</f>
        <v>21.884615282258974</v>
      </c>
      <c r="E45" s="77">
        <f>0.288*E44</f>
        <v>16.367870100156342</v>
      </c>
      <c r="F45" s="77">
        <f t="shared" ref="F45:J45" si="8">0.288*F44</f>
        <v>16.69381821615324</v>
      </c>
      <c r="G45" s="77">
        <f t="shared" si="8"/>
        <v>18.353441785925551</v>
      </c>
      <c r="H45" s="77">
        <f t="shared" si="8"/>
        <v>16.767523166165279</v>
      </c>
      <c r="I45" s="77">
        <f t="shared" si="8"/>
        <v>17.098207487999996</v>
      </c>
      <c r="J45" s="77">
        <f t="shared" si="8"/>
        <v>30.892981824</v>
      </c>
      <c r="K45" s="77">
        <f>0.288*K44</f>
        <v>35.407466423589966</v>
      </c>
      <c r="L45" s="69"/>
      <c r="T45" s="2"/>
      <c r="U45" s="2"/>
      <c r="V45" s="2"/>
    </row>
    <row r="46" spans="1:22" s="195" customFormat="1" x14ac:dyDescent="0.15">
      <c r="A46" s="186" t="s">
        <v>344</v>
      </c>
      <c r="B46" s="192">
        <f>B45</f>
        <v>2.3311591059554102</v>
      </c>
      <c r="C46" s="193">
        <f>B46+40*B45+(C45-B45)*40/2</f>
        <v>226.6648009953436</v>
      </c>
      <c r="D46" s="193">
        <f>(C46+25*C45+(D45-C45)*25/2)</f>
        <v>611.29152938000584</v>
      </c>
      <c r="E46" s="193">
        <f>D46+E45</f>
        <v>627.65939948016216</v>
      </c>
      <c r="F46" s="193">
        <f t="shared" ref="F46:H46" si="9">E46+F45</f>
        <v>644.35321769631537</v>
      </c>
      <c r="G46" s="193">
        <f>F46+G45</f>
        <v>662.70665948224087</v>
      </c>
      <c r="H46" s="193">
        <f t="shared" si="9"/>
        <v>679.4741826484061</v>
      </c>
      <c r="I46" s="193">
        <f>H46+I45</f>
        <v>696.57239013640606</v>
      </c>
      <c r="J46" s="193">
        <f t="shared" ref="J46" si="10">I46+J45</f>
        <v>727.46537196040606</v>
      </c>
      <c r="K46" s="194">
        <f>J46+4*J45+(K45-J45)*4/2</f>
        <v>860.06626845558606</v>
      </c>
      <c r="T46" s="196"/>
      <c r="U46" s="196"/>
      <c r="V46" s="196"/>
    </row>
    <row r="47" spans="1:22" x14ac:dyDescent="0.15">
      <c r="C47" s="2"/>
      <c r="D47" s="43"/>
    </row>
    <row r="48" spans="1:22" s="43" customFormat="1" x14ac:dyDescent="0.15">
      <c r="A48" s="95" t="s">
        <v>290</v>
      </c>
      <c r="B48" s="79">
        <f>C48*B7/C7</f>
        <v>7229.9705737185077</v>
      </c>
      <c r="C48" s="53">
        <f>28539*L363/D366</f>
        <v>27557.994465043761</v>
      </c>
      <c r="D48" s="143">
        <v>64557</v>
      </c>
      <c r="E48" s="53">
        <v>65275</v>
      </c>
      <c r="F48" s="53">
        <v>67415</v>
      </c>
      <c r="G48" s="53">
        <v>68827</v>
      </c>
      <c r="H48" s="53">
        <v>70468</v>
      </c>
      <c r="I48" s="53">
        <v>71546</v>
      </c>
      <c r="J48" s="53">
        <f>I48*J7/I7</f>
        <v>75749.45831301804</v>
      </c>
      <c r="K48" s="53">
        <f>I48*K7/I7</f>
        <v>85386.017308629933</v>
      </c>
      <c r="L48" s="70" t="s">
        <v>94</v>
      </c>
      <c r="T48" s="44"/>
      <c r="U48" s="44"/>
      <c r="V48" s="44"/>
    </row>
    <row r="49" spans="1:22" x14ac:dyDescent="0.15">
      <c r="A49" s="69" t="s">
        <v>69</v>
      </c>
      <c r="B49" s="69"/>
      <c r="C49" s="5"/>
      <c r="D49" s="143"/>
      <c r="E49" s="5"/>
      <c r="F49" s="5"/>
      <c r="G49" s="5"/>
      <c r="H49" s="5"/>
      <c r="I49" s="5">
        <v>103718</v>
      </c>
      <c r="J49" s="5">
        <v>116431</v>
      </c>
      <c r="K49" s="5">
        <f>J49+(K48-J48)*4/2</f>
        <v>135704.11799122379</v>
      </c>
      <c r="L49" s="69" t="s">
        <v>218</v>
      </c>
      <c r="O49" s="7">
        <f>(I49+J49)/(I48+J48)</f>
        <v>1.4946082012397197</v>
      </c>
      <c r="T49" s="2"/>
      <c r="U49" s="2"/>
      <c r="V49" s="2"/>
    </row>
    <row r="50" spans="1:22" s="43" customFormat="1" x14ac:dyDescent="0.15">
      <c r="A50" s="43" t="s">
        <v>369</v>
      </c>
      <c r="B50" s="163">
        <f>((B48/100000)/B12)*B7</f>
        <v>17.762901581466021</v>
      </c>
      <c r="C50" s="163">
        <f>((C48/100000)/C12)*C7</f>
        <v>205.94045739047667</v>
      </c>
      <c r="D50" s="163">
        <f t="shared" ref="D50:K50" si="11">((D48/100000)/D12)*D7</f>
        <v>1027.0928544223445</v>
      </c>
      <c r="E50" s="163">
        <f>((E48/100000)/E12)*E7</f>
        <v>1068.3373914884608</v>
      </c>
      <c r="F50" s="163">
        <f t="shared" si="11"/>
        <v>1131.9883694053372</v>
      </c>
      <c r="G50" s="163">
        <f t="shared" si="11"/>
        <v>1197.5085539629006</v>
      </c>
      <c r="H50" s="163">
        <f t="shared" si="11"/>
        <v>1257.3177918246945</v>
      </c>
      <c r="I50" s="163">
        <f t="shared" si="11"/>
        <v>1238.5806794682421</v>
      </c>
      <c r="J50" s="163">
        <f t="shared" si="11"/>
        <v>1389.1998836777509</v>
      </c>
      <c r="K50" s="163">
        <f t="shared" si="11"/>
        <v>1769.2492364822936</v>
      </c>
      <c r="L50" s="70" t="s">
        <v>284</v>
      </c>
      <c r="T50" s="44"/>
      <c r="U50" s="44"/>
      <c r="V50" s="44"/>
    </row>
    <row r="51" spans="1:22" s="185" customFormat="1" x14ac:dyDescent="0.15">
      <c r="A51" s="197" t="s">
        <v>345</v>
      </c>
      <c r="B51" s="198">
        <f>B50</f>
        <v>17.762901581466021</v>
      </c>
      <c r="C51" s="198">
        <f>B51+40*B50+(C50-B50)*40/2</f>
        <v>4491.83008102032</v>
      </c>
      <c r="D51" s="198">
        <f>C51+25*C50+(D50-C50)*25/2</f>
        <v>19904.746478680587</v>
      </c>
      <c r="E51" s="198">
        <f>D51+E50</f>
        <v>20973.083870169048</v>
      </c>
      <c r="F51" s="198">
        <f t="shared" ref="F51:J51" si="12">E51+F50</f>
        <v>22105.072239574387</v>
      </c>
      <c r="G51" s="198">
        <f t="shared" si="12"/>
        <v>23302.580793537287</v>
      </c>
      <c r="H51" s="198">
        <f t="shared" si="12"/>
        <v>24559.898585361982</v>
      </c>
      <c r="I51" s="198">
        <f t="shared" si="12"/>
        <v>25798.479264830225</v>
      </c>
      <c r="J51" s="198">
        <f t="shared" si="12"/>
        <v>27187.679148507974</v>
      </c>
      <c r="K51" s="198">
        <f>J51+4*J50+(K50-J50)*4/2</f>
        <v>33504.577388828067</v>
      </c>
    </row>
    <row r="52" spans="1:22" x14ac:dyDescent="0.15">
      <c r="B52"/>
      <c r="C52" s="2"/>
      <c r="D52" s="43"/>
    </row>
    <row r="53" spans="1:22" x14ac:dyDescent="0.15">
      <c r="A53" s="94" t="s">
        <v>80</v>
      </c>
      <c r="B53" s="94"/>
      <c r="C53" s="5">
        <f>D53*C7/D7</f>
        <v>153.99813805027264</v>
      </c>
      <c r="D53" s="44">
        <v>322</v>
      </c>
      <c r="E53" s="2">
        <v>335</v>
      </c>
      <c r="F53" s="2">
        <v>348</v>
      </c>
      <c r="G53" s="2">
        <v>359</v>
      </c>
      <c r="H53" s="2">
        <v>368</v>
      </c>
      <c r="I53" s="2">
        <v>376</v>
      </c>
      <c r="J53" s="2">
        <v>391</v>
      </c>
      <c r="K53" s="5">
        <f>J53*K7/J7</f>
        <v>440.74153810729911</v>
      </c>
      <c r="L53" s="69" t="s">
        <v>70</v>
      </c>
      <c r="T53" s="2"/>
      <c r="U53" s="2"/>
      <c r="V53" s="2"/>
    </row>
    <row r="54" spans="1:22" x14ac:dyDescent="0.15">
      <c r="A54" s="69" t="s">
        <v>323</v>
      </c>
      <c r="B54" s="69"/>
      <c r="C54" s="3">
        <v>120</v>
      </c>
      <c r="D54" s="130">
        <v>381</v>
      </c>
      <c r="E54" s="3">
        <v>400</v>
      </c>
      <c r="F54" s="3">
        <v>420</v>
      </c>
      <c r="G54" s="3">
        <v>441</v>
      </c>
      <c r="H54" s="3">
        <v>460</v>
      </c>
      <c r="I54" s="3">
        <f>H54*I7/H7</f>
        <v>445.65895134624469</v>
      </c>
      <c r="J54" s="3">
        <f>H54*J7/H7</f>
        <v>471.84222957014646</v>
      </c>
      <c r="K54" s="3">
        <f>H54*K7/H7</f>
        <v>531.86820973075112</v>
      </c>
      <c r="L54" s="94" t="s">
        <v>100</v>
      </c>
      <c r="T54" s="2"/>
      <c r="U54" s="2"/>
      <c r="V54" s="2"/>
    </row>
    <row r="55" spans="1:22" x14ac:dyDescent="0.15">
      <c r="A55" s="97" t="s">
        <v>79</v>
      </c>
      <c r="B55" s="97"/>
      <c r="C55" s="3">
        <f>(237.5/78.4)*C7/C6</f>
        <v>4.7653083543128538</v>
      </c>
      <c r="D55" s="130">
        <f>(874.7/281)*D7/D6</f>
        <v>3.1115699050282872</v>
      </c>
      <c r="E55" s="3">
        <f>857.3/271*E7/E6</f>
        <v>3.2828047450832942</v>
      </c>
      <c r="F55" s="3">
        <f>939.7/305*F7/F6</f>
        <v>3.0231016699410609</v>
      </c>
      <c r="G55" s="73">
        <f>1015.6/322*G7/G6</f>
        <v>3.0096443471080314</v>
      </c>
      <c r="H55" s="46">
        <f>978.2/316*H7/H6</f>
        <v>2.9879497941757434</v>
      </c>
      <c r="I55" s="3">
        <f>932.7/322*I7/I6</f>
        <v>2.7884972908992585</v>
      </c>
      <c r="J55" s="3">
        <f>1184/369*J7/J6</f>
        <v>2.8768090158193078</v>
      </c>
      <c r="K55" s="3">
        <f>J55*(K7/J7)</f>
        <v>3.242785755685798</v>
      </c>
      <c r="L55" s="69" t="s">
        <v>266</v>
      </c>
      <c r="N55" t="s">
        <v>324</v>
      </c>
      <c r="T55" s="2"/>
      <c r="U55" s="2"/>
      <c r="V55" s="2"/>
    </row>
    <row r="56" spans="1:22" s="43" customFormat="1" x14ac:dyDescent="0.15">
      <c r="A56" s="230" t="s">
        <v>360</v>
      </c>
      <c r="B56" s="234"/>
      <c r="C56" s="96">
        <f>(58-1.44*(C31-2014))/100</f>
        <v>0.92559999999999998</v>
      </c>
      <c r="D56" s="96">
        <f>(58-1.44*(D31-2014))/100</f>
        <v>0.56559999999999999</v>
      </c>
      <c r="E56" s="96">
        <f t="shared" ref="E56:K56" si="13">(58-1.44*(E31-2014))/100</f>
        <v>0.55120000000000002</v>
      </c>
      <c r="F56" s="96">
        <f t="shared" si="13"/>
        <v>0.53679999999999994</v>
      </c>
      <c r="G56" s="96">
        <f t="shared" si="13"/>
        <v>0.52239999999999998</v>
      </c>
      <c r="H56" s="96">
        <f t="shared" si="13"/>
        <v>0.50800000000000001</v>
      </c>
      <c r="I56" s="96">
        <f t="shared" si="13"/>
        <v>0.49359999999999998</v>
      </c>
      <c r="J56" s="96">
        <f t="shared" si="13"/>
        <v>0.47920000000000001</v>
      </c>
      <c r="K56" s="96">
        <f t="shared" si="13"/>
        <v>0.42159999999999997</v>
      </c>
      <c r="L56" s="95" t="s">
        <v>12</v>
      </c>
      <c r="T56" s="44"/>
      <c r="U56" s="44"/>
      <c r="V56" s="44"/>
    </row>
    <row r="57" spans="1:22" s="43" customFormat="1" x14ac:dyDescent="0.15">
      <c r="A57" s="230" t="s">
        <v>361</v>
      </c>
      <c r="B57" s="235"/>
      <c r="C57" s="96">
        <f>(1-C56)*(0.25*C8/86500)</f>
        <v>6.1466131211115925E-3</v>
      </c>
      <c r="D57" s="96">
        <f t="shared" ref="D57:F57" si="14">(1-D56)*(0.25*D8/86500)</f>
        <v>7.5040058079160435E-2</v>
      </c>
      <c r="E57" s="96">
        <f t="shared" si="14"/>
        <v>7.9703171379471957E-2</v>
      </c>
      <c r="F57" s="96">
        <f t="shared" si="14"/>
        <v>8.5037981197790796E-2</v>
      </c>
      <c r="G57" s="96">
        <f>(1-G56)*(0.25*G8/86500)</f>
        <v>9.0567429721458953E-2</v>
      </c>
      <c r="H57" s="96">
        <f t="shared" ref="H57" si="15">(1-H56)*(0.25*H8/86500)</f>
        <v>9.5717029508256973E-2</v>
      </c>
      <c r="I57" s="96">
        <f t="shared" ref="I57" si="16">(1-I56)*(0.25*I8/86500)</f>
        <v>9.5447071689166205E-2</v>
      </c>
      <c r="J57" s="96">
        <f t="shared" ref="J57" si="17">(1-J56)*(0.25*J8/86500)</f>
        <v>0.103928356782488</v>
      </c>
      <c r="K57" s="96">
        <f>(1-K56)*(0.25*K8/86500)</f>
        <v>0.13010638043688025</v>
      </c>
      <c r="L57" s="95"/>
      <c r="T57" s="44"/>
      <c r="U57" s="44"/>
      <c r="V57" s="44"/>
    </row>
    <row r="58" spans="1:22" s="43" customFormat="1" x14ac:dyDescent="0.15">
      <c r="A58" s="70" t="s">
        <v>119</v>
      </c>
      <c r="B58" s="79">
        <f>(C58*B7/C7)</f>
        <v>139.78449384640521</v>
      </c>
      <c r="C58" s="79">
        <f>(C54*C55*(C56+C57))</f>
        <v>532.80719035304878</v>
      </c>
      <c r="D58" s="79">
        <f>(D54*D55*(D56+D57))</f>
        <v>759.48399970105686</v>
      </c>
      <c r="E58" s="79">
        <f>(E54*E55*(E56+E57))</f>
        <v>828.45276987705165</v>
      </c>
      <c r="F58" s="79">
        <f t="shared" ref="F58:G58" si="18">(F54*F55*(F56+F57))</f>
        <v>789.54936454456413</v>
      </c>
      <c r="G58" s="79">
        <f t="shared" si="18"/>
        <v>813.56295628173496</v>
      </c>
      <c r="H58" s="79">
        <f>(H54*H55*(H56+H57))</f>
        <v>829.78304006741041</v>
      </c>
      <c r="I58" s="79">
        <f>(I54*I55*(I56+I57))</f>
        <v>732.01985740503267</v>
      </c>
      <c r="J58" s="79">
        <f t="shared" ref="J58" si="19">(J54*J55*(J56+J57))</f>
        <v>791.53841987578119</v>
      </c>
      <c r="K58" s="79">
        <f t="shared" ref="K58" si="20">(K54*K55*(K56+K57))</f>
        <v>951.5471134024491</v>
      </c>
      <c r="L58" s="70"/>
      <c r="T58" s="44"/>
      <c r="U58" s="44"/>
      <c r="V58" s="44"/>
    </row>
    <row r="59" spans="1:22" s="185" customFormat="1" x14ac:dyDescent="0.15">
      <c r="A59" s="186" t="s">
        <v>348</v>
      </c>
      <c r="B59" s="187">
        <f>B58</f>
        <v>139.78449384640521</v>
      </c>
      <c r="C59" s="184">
        <f>B59+ 40*B58+(C58-B58)*40/2</f>
        <v>13591.618177835484</v>
      </c>
      <c r="D59" s="184">
        <f>B59+25*C58+(D58-C58)*25/2</f>
        <v>16293.424369522727</v>
      </c>
      <c r="E59" s="184">
        <f>D59+E58</f>
        <v>17121.877139399778</v>
      </c>
      <c r="F59" s="184">
        <f t="shared" ref="F59:I59" si="21">E59+F58</f>
        <v>17911.426503944342</v>
      </c>
      <c r="G59" s="184">
        <f t="shared" si="21"/>
        <v>18724.989460226076</v>
      </c>
      <c r="H59" s="184">
        <f t="shared" si="21"/>
        <v>19554.772500293486</v>
      </c>
      <c r="I59" s="184">
        <f t="shared" si="21"/>
        <v>20286.792357698519</v>
      </c>
      <c r="J59" s="184">
        <f>I59+J58</f>
        <v>21078.330777574301</v>
      </c>
      <c r="K59" s="184">
        <f>J59+4*J58+(K58-J58)*4/2</f>
        <v>24564.501844130762</v>
      </c>
      <c r="L59" s="191"/>
      <c r="T59" s="189"/>
      <c r="U59" s="189"/>
      <c r="V59" s="189"/>
    </row>
    <row r="60" spans="1:22" x14ac:dyDescent="0.15">
      <c r="B60"/>
      <c r="C60" s="233"/>
      <c r="D60" s="43"/>
    </row>
    <row r="61" spans="1:22" x14ac:dyDescent="0.15">
      <c r="A61" s="174" t="s">
        <v>347</v>
      </c>
      <c r="B61" s="97"/>
      <c r="C61" s="15"/>
      <c r="D61" s="52"/>
      <c r="E61" s="15"/>
      <c r="F61" s="15"/>
      <c r="G61" s="15"/>
      <c r="H61" s="15"/>
      <c r="I61" s="15"/>
      <c r="J61" s="15"/>
      <c r="K61" s="15"/>
      <c r="L61" s="27"/>
      <c r="T61" s="2"/>
      <c r="U61" s="2"/>
      <c r="V61" s="2"/>
    </row>
    <row r="62" spans="1:22" ht="16" x14ac:dyDescent="0.2">
      <c r="A62" s="27" t="s">
        <v>204</v>
      </c>
      <c r="B62" s="27"/>
      <c r="C62" s="15">
        <f>(D62*C7/D7)</f>
        <v>25250.912089373585</v>
      </c>
      <c r="D62" s="142">
        <v>52798</v>
      </c>
      <c r="E62" s="39">
        <v>53202</v>
      </c>
      <c r="F62" s="38">
        <v>53888</v>
      </c>
      <c r="G62" s="38">
        <v>53888</v>
      </c>
      <c r="H62" s="38">
        <v>54534</v>
      </c>
      <c r="I62" s="39">
        <v>54534</v>
      </c>
      <c r="J62" s="15">
        <f>I62*((E62+F62+G62+H62)/4)/E62</f>
        <v>55226.924777264016</v>
      </c>
      <c r="K62" s="15">
        <f>I62*(1+(0.013*5/2))</f>
        <v>56306.354999999996</v>
      </c>
      <c r="L62" s="27" t="s">
        <v>99</v>
      </c>
      <c r="T62" s="2"/>
      <c r="U62" s="2"/>
      <c r="V62" s="2"/>
    </row>
    <row r="63" spans="1:22" x14ac:dyDescent="0.15">
      <c r="A63" s="27" t="s">
        <v>37</v>
      </c>
      <c r="B63" s="123">
        <f>C63*B7/C7</f>
        <v>117.89422522892013</v>
      </c>
      <c r="C63" s="15">
        <f>(959/53888)*C62</f>
        <v>449.36951999905853</v>
      </c>
      <c r="D63" s="52">
        <f>(959/53888)*D62</f>
        <v>939.6021748812351</v>
      </c>
      <c r="E63" s="15">
        <f t="shared" ref="E63:K63" si="22">(959/53888)*E62</f>
        <v>946.79182749406164</v>
      </c>
      <c r="F63" s="15">
        <f t="shared" si="22"/>
        <v>958.99999999999989</v>
      </c>
      <c r="G63" s="15">
        <f t="shared" si="22"/>
        <v>958.99999999999989</v>
      </c>
      <c r="H63" s="15">
        <f t="shared" si="22"/>
        <v>970.49632571258894</v>
      </c>
      <c r="I63" s="15">
        <f t="shared" si="22"/>
        <v>970.49632571258894</v>
      </c>
      <c r="J63" s="15">
        <f t="shared" si="22"/>
        <v>982.82773273077839</v>
      </c>
      <c r="K63" s="15">
        <f t="shared" si="22"/>
        <v>1002.0374562982481</v>
      </c>
      <c r="L63" s="69" t="s">
        <v>208</v>
      </c>
      <c r="T63" s="2"/>
      <c r="U63" s="2"/>
      <c r="V63" s="2"/>
    </row>
    <row r="64" spans="1:22" s="43" customFormat="1" x14ac:dyDescent="0.15">
      <c r="A64" s="230" t="s">
        <v>355</v>
      </c>
      <c r="B64" s="79">
        <v>10</v>
      </c>
      <c r="C64" s="52">
        <v>168</v>
      </c>
      <c r="D64" s="44">
        <v>289</v>
      </c>
      <c r="E64" s="52">
        <v>293</v>
      </c>
      <c r="F64" s="52">
        <v>298</v>
      </c>
      <c r="G64" s="52">
        <v>303</v>
      </c>
      <c r="H64" s="52">
        <v>307</v>
      </c>
      <c r="I64" s="52">
        <v>312</v>
      </c>
      <c r="J64" s="52">
        <v>317</v>
      </c>
      <c r="K64" s="52">
        <v>336</v>
      </c>
      <c r="L64" s="45"/>
      <c r="T64" s="44"/>
      <c r="U64" s="44"/>
      <c r="V64" s="44"/>
    </row>
    <row r="65" spans="1:22" s="43" customFormat="1" x14ac:dyDescent="0.15">
      <c r="A65" s="230" t="s">
        <v>356</v>
      </c>
      <c r="B65" s="162">
        <f>E340*(B7/C7)*(B63+(B64/0.917))</f>
        <v>281.1974908457737</v>
      </c>
      <c r="C65" s="52">
        <f>((C63+(C64/0.917))*E348)</f>
        <v>2605.712521839836</v>
      </c>
      <c r="D65" s="52">
        <f>((D63+(D64/0.917))*E344)</f>
        <v>10807.250457006712</v>
      </c>
      <c r="E65" s="52">
        <f>((E63+(E64/0.917))*F344)</f>
        <v>11176.27978264048</v>
      </c>
      <c r="F65" s="52">
        <f>((F63+(F64/0.917))*G344)</f>
        <v>11669.001030098145</v>
      </c>
      <c r="G65" s="52">
        <f>((G63+(G64/0.917))*H344)</f>
        <v>12203.636808287896</v>
      </c>
      <c r="H65" s="52">
        <f>((H63+(H64/0.917))*I344)</f>
        <v>12534.639138391602</v>
      </c>
      <c r="I65" s="52">
        <f>((I63+(I64/0.917))*F348)</f>
        <v>12317.861617891354</v>
      </c>
      <c r="J65" s="52">
        <f>((J63+(J64/0.917))*G348)</f>
        <v>13218.505384877746</v>
      </c>
      <c r="K65" s="52">
        <f>((K63+(K64/0.917))*H348)</f>
        <v>15347.945280722528</v>
      </c>
      <c r="L65" s="99" t="s">
        <v>102</v>
      </c>
      <c r="T65" s="44"/>
      <c r="U65" s="44"/>
      <c r="V65" s="44"/>
    </row>
    <row r="66" spans="1:22" s="185" customFormat="1" x14ac:dyDescent="0.15">
      <c r="A66" s="186" t="s">
        <v>349</v>
      </c>
      <c r="B66" s="187">
        <f>B65</f>
        <v>281.1974908457737</v>
      </c>
      <c r="C66" s="199">
        <f>B66+40*B65+(C65-B65)*40/2</f>
        <v>58019.397744557966</v>
      </c>
      <c r="D66" s="199">
        <f>C66+ 25*C65+(D65-C65)*25/2</f>
        <v>225681.43498013981</v>
      </c>
      <c r="E66" s="199">
        <f>D66+E65</f>
        <v>236857.71476278029</v>
      </c>
      <c r="F66" s="199">
        <f>E66+F65</f>
        <v>248526.71579287844</v>
      </c>
      <c r="G66" s="199">
        <f t="shared" ref="G66:J66" si="23">F66+G65</f>
        <v>260730.35260116635</v>
      </c>
      <c r="H66" s="199">
        <f t="shared" si="23"/>
        <v>273264.99173955794</v>
      </c>
      <c r="I66" s="199">
        <f t="shared" si="23"/>
        <v>285582.85335744929</v>
      </c>
      <c r="J66" s="199">
        <f t="shared" si="23"/>
        <v>298801.35874232702</v>
      </c>
      <c r="K66" s="199">
        <f>J66+4*J65+(K65-J65)*4/2</f>
        <v>355934.26007352758</v>
      </c>
      <c r="L66" s="200"/>
      <c r="T66" s="189"/>
      <c r="U66" s="189"/>
      <c r="V66" s="189"/>
    </row>
    <row r="67" spans="1:22" x14ac:dyDescent="0.15">
      <c r="B67"/>
      <c r="C67" s="2"/>
      <c r="D67" s="43"/>
    </row>
    <row r="68" spans="1:22" s="185" customFormat="1" x14ac:dyDescent="0.15">
      <c r="A68" s="186" t="s">
        <v>302</v>
      </c>
      <c r="B68" s="201">
        <f t="shared" ref="B68:K68" si="24">B37+B42+B46+B51+B59+B66</f>
        <v>445.17505403556288</v>
      </c>
      <c r="C68" s="201">
        <f t="shared" si="24"/>
        <v>77384.283913721738</v>
      </c>
      <c r="D68" s="201">
        <f t="shared" si="24"/>
        <v>267468.91994629544</v>
      </c>
      <c r="E68" s="201">
        <f t="shared" si="24"/>
        <v>284561.80406425335</v>
      </c>
      <c r="F68" s="201">
        <f t="shared" si="24"/>
        <v>302440.71896246274</v>
      </c>
      <c r="G68" s="201">
        <f t="shared" si="24"/>
        <v>321250.5390508197</v>
      </c>
      <c r="H68" s="201">
        <f t="shared" si="24"/>
        <v>340827.14636276121</v>
      </c>
      <c r="I68" s="201">
        <f t="shared" si="24"/>
        <v>360513.08831986401</v>
      </c>
      <c r="J68" s="201">
        <f t="shared" si="24"/>
        <v>381867.95158562373</v>
      </c>
      <c r="K68" s="201">
        <f t="shared" si="24"/>
        <v>473133.36393819016</v>
      </c>
      <c r="L68" s="200"/>
      <c r="T68" s="189"/>
      <c r="U68" s="189"/>
      <c r="V68" s="189"/>
    </row>
    <row r="69" spans="1:22" x14ac:dyDescent="0.15">
      <c r="B69" s="175"/>
      <c r="C69" s="2"/>
      <c r="D69" s="43"/>
    </row>
    <row r="70" spans="1:22" s="231" customFormat="1" x14ac:dyDescent="0.15">
      <c r="A70" s="230" t="s">
        <v>362</v>
      </c>
      <c r="B70" s="237">
        <f>B10-(B21*0.4*1000/60)-B35</f>
        <v>1674.5971109350553</v>
      </c>
      <c r="C70" s="237">
        <f>C10-(C21*0.4*1000/60)-C35</f>
        <v>6115.0704500978463</v>
      </c>
      <c r="D70" s="237">
        <f t="shared" ref="D70:G70" si="25">D10-(D21*0.4*1000/60)-D35</f>
        <v>9448.9197651663417</v>
      </c>
      <c r="E70" s="237">
        <f t="shared" si="25"/>
        <v>7865.3718199608629</v>
      </c>
      <c r="F70" s="237">
        <f t="shared" si="25"/>
        <v>8219.8238747553842</v>
      </c>
      <c r="G70" s="237">
        <f t="shared" si="25"/>
        <v>7913.455968688846</v>
      </c>
      <c r="H70" s="237">
        <f>H10-(H21*0.4*1000/60)-H35</f>
        <v>7085</v>
      </c>
      <c r="I70" s="237">
        <f>I10-(I21*0.4*1000/60)-I35</f>
        <v>6101.536203522498</v>
      </c>
      <c r="J70" s="237">
        <f t="shared" ref="J70" si="26">J10-(J21*0.4*1000/60)-J35</f>
        <v>4938.8530796067771</v>
      </c>
      <c r="K70" s="237">
        <f t="shared" ref="K70" si="27">K10-(K21*0.4/60)-K35</f>
        <v>51541.800522159348</v>
      </c>
    </row>
    <row r="71" spans="1:22" x14ac:dyDescent="0.15">
      <c r="A71" s="230" t="s">
        <v>363</v>
      </c>
      <c r="B71" s="238">
        <f>B70*60/1000</f>
        <v>100.47582665610332</v>
      </c>
      <c r="C71" s="238">
        <f t="shared" ref="C71:F71" si="28">C70*60/1000</f>
        <v>366.90422700587078</v>
      </c>
      <c r="D71" s="238">
        <f t="shared" si="28"/>
        <v>566.93518590998042</v>
      </c>
      <c r="E71" s="238">
        <f>E70*60/1000</f>
        <v>471.92230919765183</v>
      </c>
      <c r="F71" s="238">
        <f t="shared" si="28"/>
        <v>493.18943248532304</v>
      </c>
      <c r="G71" s="238">
        <f>G70*60/1000</f>
        <v>474.80735812133071</v>
      </c>
      <c r="H71" s="238">
        <f t="shared" ref="H71" si="29">H70*60/1000</f>
        <v>425.1</v>
      </c>
      <c r="I71" s="238">
        <f t="shared" ref="I71" si="30">I70*60/1000</f>
        <v>366.09217221134986</v>
      </c>
      <c r="J71" s="238">
        <f t="shared" ref="J71" si="31">J70*60/1000</f>
        <v>296.33118477640664</v>
      </c>
      <c r="K71" s="238">
        <f t="shared" ref="K71" si="32">K70*60/1000</f>
        <v>3092.5080313295612</v>
      </c>
    </row>
    <row r="72" spans="1:22" s="185" customFormat="1" x14ac:dyDescent="0.15">
      <c r="A72" s="236" t="s">
        <v>364</v>
      </c>
      <c r="B72" s="212">
        <f>B71</f>
        <v>100.47582665610332</v>
      </c>
      <c r="C72" s="212">
        <f>B72+40*B71+(C71-B71)*40/2</f>
        <v>9448.0768998955846</v>
      </c>
      <c r="D72" s="212">
        <f>C72+25*C71+(D71-C71)*25/2</f>
        <v>21121.069561343724</v>
      </c>
      <c r="E72" s="212">
        <f>D72+E71</f>
        <v>21592.991870541377</v>
      </c>
      <c r="F72" s="212">
        <f t="shared" ref="F72:J72" si="33">E72+F71</f>
        <v>22086.1813030267</v>
      </c>
      <c r="G72" s="212">
        <f t="shared" si="33"/>
        <v>22560.988661148032</v>
      </c>
      <c r="H72" s="212">
        <f t="shared" si="33"/>
        <v>22986.088661148031</v>
      </c>
      <c r="I72" s="212">
        <f t="shared" si="33"/>
        <v>23352.18083335938</v>
      </c>
      <c r="J72" s="212">
        <f t="shared" si="33"/>
        <v>23648.512018135785</v>
      </c>
      <c r="K72" s="212">
        <f>J72+K71</f>
        <v>26741.020049465347</v>
      </c>
    </row>
    <row r="73" spans="1:22" x14ac:dyDescent="0.15">
      <c r="B73"/>
      <c r="C73" s="2"/>
      <c r="D73" s="43"/>
    </row>
    <row r="74" spans="1:22" x14ac:dyDescent="0.15">
      <c r="A74" s="45" t="s">
        <v>273</v>
      </c>
      <c r="B74" s="27"/>
      <c r="C74" s="14"/>
      <c r="D74" s="143"/>
      <c r="E74" s="5"/>
      <c r="F74" s="5"/>
      <c r="G74" s="5"/>
      <c r="H74" s="5"/>
      <c r="K74" s="5"/>
      <c r="L74" s="13"/>
      <c r="T74" s="2"/>
      <c r="U74" s="2"/>
      <c r="V74" s="2"/>
    </row>
    <row r="75" spans="1:22" s="43" customFormat="1" x14ac:dyDescent="0.15">
      <c r="A75" s="172" t="s">
        <v>374</v>
      </c>
      <c r="B75" s="51">
        <f>K311</f>
        <v>0.1</v>
      </c>
      <c r="C75" s="48">
        <f>B302</f>
        <v>0.73749999999999993</v>
      </c>
      <c r="D75" s="130">
        <f>C311</f>
        <v>1.08</v>
      </c>
      <c r="E75" s="163">
        <f>D311</f>
        <v>1.0900000000000001</v>
      </c>
      <c r="F75" s="163">
        <f t="shared" ref="F75:H75" si="34">E311</f>
        <v>1.1000000000000001</v>
      </c>
      <c r="G75" s="163">
        <f t="shared" si="34"/>
        <v>1.1200000000000001</v>
      </c>
      <c r="H75" s="163">
        <f t="shared" si="34"/>
        <v>1.1299999999999999</v>
      </c>
      <c r="I75" s="163">
        <f>H311</f>
        <v>1.1399999999999999</v>
      </c>
      <c r="J75" s="163">
        <f>I311</f>
        <v>1.1599999999999999</v>
      </c>
      <c r="K75" s="163">
        <f t="shared" ref="K75" si="35">J311</f>
        <v>1.17</v>
      </c>
      <c r="L75" s="45" t="s">
        <v>97</v>
      </c>
      <c r="T75" s="44"/>
      <c r="U75" s="44"/>
      <c r="V75" s="44"/>
    </row>
    <row r="76" spans="1:22" s="185" customFormat="1" x14ac:dyDescent="0.15">
      <c r="A76" s="236" t="s">
        <v>303</v>
      </c>
      <c r="B76" s="187">
        <f>(B68*(2/(2-B75)))</f>
        <v>468.60532003743458</v>
      </c>
      <c r="C76" s="199">
        <f>(C68*(2/(2-C75)))</f>
        <v>122588.96461579679</v>
      </c>
      <c r="D76" s="199">
        <f>(D68*(2/(2-D75)))</f>
        <v>581454.17379629449</v>
      </c>
      <c r="E76" s="199">
        <f t="shared" ref="E76:J76" si="36">(E68*(2/(2-E75)))</f>
        <v>625410.55838297447</v>
      </c>
      <c r="F76" s="199">
        <f t="shared" si="36"/>
        <v>672090.48658325057</v>
      </c>
      <c r="G76" s="199">
        <f t="shared" si="36"/>
        <v>730114.8614791357</v>
      </c>
      <c r="H76" s="199">
        <f t="shared" si="36"/>
        <v>783510.68129370385</v>
      </c>
      <c r="I76" s="199">
        <f t="shared" si="36"/>
        <v>838402.53097642784</v>
      </c>
      <c r="J76" s="199">
        <f t="shared" si="36"/>
        <v>909209.40853719937</v>
      </c>
      <c r="K76" s="199">
        <f>(K68*(2/(2-K75)))</f>
        <v>1140080.3950317835</v>
      </c>
      <c r="L76" s="200"/>
      <c r="T76" s="189"/>
      <c r="U76" s="189"/>
      <c r="V76" s="189"/>
    </row>
    <row r="77" spans="1:22" x14ac:dyDescent="0.15">
      <c r="A77" s="97" t="s">
        <v>274</v>
      </c>
      <c r="B77" s="15">
        <f>C77*B76/C76</f>
        <v>32.935477968563944</v>
      </c>
      <c r="C77" s="15">
        <f>D77*C76/D76</f>
        <v>8616.0484541022743</v>
      </c>
      <c r="D77" s="52">
        <f>(E76-D76)*D76/E76</f>
        <v>40866.952021090088</v>
      </c>
      <c r="E77" s="15">
        <f>E76-D76</f>
        <v>43956.384586679982</v>
      </c>
      <c r="F77" s="15">
        <f>F76-E76</f>
        <v>46679.928200276103</v>
      </c>
      <c r="G77" s="15">
        <f t="shared" ref="G77:J77" si="37">G76-F76</f>
        <v>58024.374895885121</v>
      </c>
      <c r="H77" s="15">
        <f t="shared" si="37"/>
        <v>53395.819814568153</v>
      </c>
      <c r="I77" s="15">
        <f t="shared" si="37"/>
        <v>54891.849682723987</v>
      </c>
      <c r="J77" s="15">
        <f t="shared" si="37"/>
        <v>70806.877560771536</v>
      </c>
      <c r="K77" s="15">
        <f>((K76-J76)/4)*(K76/J76)</f>
        <v>72373.724637208812</v>
      </c>
      <c r="L77" s="27"/>
      <c r="T77" s="2"/>
      <c r="U77" s="2"/>
      <c r="V77" s="2"/>
    </row>
    <row r="78" spans="1:22" x14ac:dyDescent="0.15">
      <c r="A78" s="88"/>
      <c r="B78" s="88"/>
      <c r="C78" s="15"/>
      <c r="D78" s="52"/>
      <c r="E78" s="15"/>
      <c r="F78" s="15"/>
      <c r="G78" s="15"/>
      <c r="H78" s="15"/>
      <c r="I78" s="15"/>
      <c r="J78" s="15"/>
      <c r="K78" s="15"/>
      <c r="L78" s="27"/>
      <c r="T78" s="2"/>
      <c r="U78" s="2"/>
      <c r="V78" s="2"/>
    </row>
    <row r="79" spans="1:22" s="185" customFormat="1" x14ac:dyDescent="0.15">
      <c r="A79" s="241" t="s">
        <v>367</v>
      </c>
      <c r="B79" s="199">
        <f>B33+B68+B72+B76</f>
        <v>1970.3646715146751</v>
      </c>
      <c r="C79" s="199">
        <f t="shared" ref="C79:K79" si="38">C33+C68+C72+C76</f>
        <v>299327.39196561766</v>
      </c>
      <c r="D79" s="199">
        <f t="shared" si="38"/>
        <v>1070659.6231865168</v>
      </c>
      <c r="E79" s="199">
        <f t="shared" si="38"/>
        <v>1137624.2584273582</v>
      </c>
      <c r="F79" s="199">
        <f t="shared" si="38"/>
        <v>1208197.8173771158</v>
      </c>
      <c r="G79" s="199">
        <f t="shared" si="38"/>
        <v>1291162.2013241758</v>
      </c>
      <c r="H79" s="199">
        <f t="shared" si="38"/>
        <v>1370259.7284506855</v>
      </c>
      <c r="I79" s="199">
        <f t="shared" si="38"/>
        <v>1451069.8157852285</v>
      </c>
      <c r="J79" s="199">
        <f t="shared" si="38"/>
        <v>1549617.1832955577</v>
      </c>
      <c r="K79" s="199">
        <f t="shared" si="38"/>
        <v>1901012.5480996738</v>
      </c>
      <c r="L79" s="200"/>
      <c r="T79" s="189"/>
      <c r="U79" s="189"/>
      <c r="V79" s="189"/>
    </row>
    <row r="80" spans="1:22" x14ac:dyDescent="0.15">
      <c r="B80"/>
      <c r="C80" s="2"/>
      <c r="D80" s="43"/>
      <c r="E80" s="43"/>
      <c r="F80" s="43"/>
      <c r="G80" s="43"/>
    </row>
    <row r="81" spans="1:22" x14ac:dyDescent="0.15">
      <c r="A81" s="166"/>
      <c r="B81" s="166"/>
      <c r="C81" s="2"/>
      <c r="D81" s="43"/>
      <c r="E81" s="43"/>
      <c r="F81" s="43"/>
      <c r="G81" s="43"/>
    </row>
    <row r="82" spans="1:22" x14ac:dyDescent="0.15">
      <c r="A82" s="214" t="s">
        <v>38</v>
      </c>
      <c r="B82" s="167"/>
      <c r="C82" s="14"/>
      <c r="D82" s="143"/>
      <c r="E82" s="108"/>
      <c r="F82" s="108"/>
      <c r="G82" s="108"/>
      <c r="H82" s="5"/>
      <c r="K82" s="5"/>
      <c r="L82" s="13"/>
      <c r="T82" s="2"/>
      <c r="U82" s="2"/>
      <c r="V82" s="2"/>
    </row>
    <row r="83" spans="1:22" x14ac:dyDescent="0.15">
      <c r="B83"/>
      <c r="C83" s="2"/>
      <c r="D83" s="43"/>
      <c r="E83" s="43"/>
      <c r="F83" s="43"/>
      <c r="G83" s="43"/>
    </row>
    <row r="84" spans="1:22" s="43" customFormat="1" x14ac:dyDescent="0.15">
      <c r="A84" s="99" t="s">
        <v>322</v>
      </c>
      <c r="B84" s="140">
        <v>0.6</v>
      </c>
      <c r="C84" s="44">
        <v>20.9</v>
      </c>
      <c r="D84" s="44">
        <v>26.6</v>
      </c>
      <c r="E84" s="44">
        <v>26.9</v>
      </c>
      <c r="F84" s="44">
        <v>27</v>
      </c>
      <c r="G84" s="44">
        <v>27.3</v>
      </c>
      <c r="H84" s="44">
        <v>27.4</v>
      </c>
      <c r="I84" s="44">
        <v>25.5</v>
      </c>
      <c r="J84" s="44">
        <v>24.5</v>
      </c>
      <c r="K84" s="44">
        <v>26.8</v>
      </c>
      <c r="L84" s="95" t="s">
        <v>399</v>
      </c>
      <c r="T84" s="44"/>
      <c r="U84" s="44"/>
      <c r="V84" s="44"/>
    </row>
    <row r="85" spans="1:22" s="207" customFormat="1" x14ac:dyDescent="0.15">
      <c r="A85" s="239" t="s">
        <v>365</v>
      </c>
      <c r="B85" s="204">
        <v>57</v>
      </c>
      <c r="C85" s="199">
        <v>339000</v>
      </c>
      <c r="D85" s="205">
        <v>1258000</v>
      </c>
      <c r="E85" s="205">
        <v>1322000</v>
      </c>
      <c r="F85" s="205">
        <v>1377000</v>
      </c>
      <c r="G85" s="205">
        <v>1444000</v>
      </c>
      <c r="H85" s="205">
        <v>1510000</v>
      </c>
      <c r="I85" s="184">
        <v>1510000</v>
      </c>
      <c r="J85" s="205">
        <v>1410000</v>
      </c>
      <c r="K85" s="205">
        <v>1730000</v>
      </c>
      <c r="L85" s="206"/>
      <c r="T85" s="208"/>
      <c r="U85" s="208"/>
      <c r="V85" s="208"/>
    </row>
    <row r="86" spans="1:22" s="85" customFormat="1" x14ac:dyDescent="0.15">
      <c r="A86" s="81"/>
      <c r="B86" s="81"/>
      <c r="C86" s="82"/>
      <c r="D86" s="83">
        <v>2</v>
      </c>
      <c r="E86" s="83"/>
      <c r="F86" s="83"/>
      <c r="G86" s="83"/>
      <c r="H86" s="83">
        <v>24.5</v>
      </c>
      <c r="I86" s="83"/>
      <c r="J86" s="83"/>
      <c r="K86" s="83"/>
      <c r="L86" s="84"/>
      <c r="T86" s="86"/>
      <c r="U86" s="86"/>
      <c r="V86" s="86"/>
    </row>
    <row r="87" spans="1:22" s="85" customFormat="1" x14ac:dyDescent="0.15">
      <c r="A87" s="90" t="s">
        <v>321</v>
      </c>
      <c r="B87" s="180">
        <v>1702</v>
      </c>
      <c r="C87" s="91">
        <v>6721</v>
      </c>
      <c r="D87" s="91">
        <v>18540</v>
      </c>
      <c r="E87" s="91">
        <v>19427</v>
      </c>
      <c r="F87" s="91">
        <v>20348</v>
      </c>
      <c r="G87" s="91">
        <v>20920</v>
      </c>
      <c r="H87" s="91">
        <v>22210</v>
      </c>
      <c r="I87" s="91">
        <v>11709</v>
      </c>
      <c r="J87" s="91">
        <v>13148</v>
      </c>
      <c r="K87" s="91">
        <v>26606</v>
      </c>
      <c r="L87" s="100" t="s">
        <v>245</v>
      </c>
    </row>
    <row r="88" spans="1:22" s="185" customFormat="1" x14ac:dyDescent="0.15">
      <c r="A88" s="209" t="s">
        <v>230</v>
      </c>
      <c r="B88" s="204">
        <v>6355</v>
      </c>
      <c r="C88" s="184">
        <v>46779</v>
      </c>
      <c r="D88" s="184">
        <v>158675</v>
      </c>
      <c r="E88" s="184">
        <v>170916</v>
      </c>
      <c r="F88" s="184">
        <v>182847</v>
      </c>
      <c r="G88" s="184">
        <v>194083</v>
      </c>
      <c r="H88" s="184">
        <v>205265</v>
      </c>
      <c r="I88" s="184">
        <v>205234</v>
      </c>
      <c r="J88" s="184">
        <v>205846</v>
      </c>
      <c r="K88" s="184">
        <v>234473</v>
      </c>
      <c r="L88" s="200" t="s">
        <v>246</v>
      </c>
    </row>
    <row r="89" spans="1:22" x14ac:dyDescent="0.15">
      <c r="B89"/>
      <c r="C89"/>
      <c r="D89" s="43"/>
    </row>
    <row r="90" spans="1:22" s="185" customFormat="1" x14ac:dyDescent="0.15">
      <c r="A90" s="266" t="s">
        <v>372</v>
      </c>
      <c r="B90" s="184">
        <f>B85+B88</f>
        <v>6412</v>
      </c>
      <c r="C90" s="184">
        <f>C85+C88</f>
        <v>385779</v>
      </c>
      <c r="D90" s="184">
        <f>D85+D88</f>
        <v>1416675</v>
      </c>
      <c r="E90" s="184">
        <f t="shared" ref="E90:F90" si="39">E85+E88</f>
        <v>1492916</v>
      </c>
      <c r="F90" s="184">
        <f t="shared" si="39"/>
        <v>1559847</v>
      </c>
      <c r="G90" s="184">
        <f>G85+G88</f>
        <v>1638083</v>
      </c>
      <c r="H90" s="184">
        <f>H85+H88</f>
        <v>1715265</v>
      </c>
      <c r="I90" s="184">
        <f>J85+I88</f>
        <v>1615234</v>
      </c>
      <c r="J90" s="184">
        <f>J85+J88</f>
        <v>1615846</v>
      </c>
      <c r="K90" s="184">
        <f>K85+K88</f>
        <v>1964473</v>
      </c>
    </row>
    <row r="91" spans="1:22" s="43" customFormat="1" x14ac:dyDescent="0.15">
      <c r="A91" s="245"/>
      <c r="B91" s="162"/>
      <c r="C91" s="162"/>
      <c r="D91" s="162"/>
      <c r="E91" s="162"/>
      <c r="F91" s="162"/>
      <c r="G91" s="162"/>
      <c r="H91" s="162"/>
      <c r="I91" s="162"/>
      <c r="J91" s="162"/>
      <c r="K91" s="162"/>
    </row>
    <row r="92" spans="1:22" s="43" customFormat="1" x14ac:dyDescent="0.15">
      <c r="A92" s="245"/>
      <c r="B92" s="162"/>
      <c r="C92" s="162"/>
      <c r="D92" s="162"/>
      <c r="E92" s="162"/>
      <c r="F92" s="162"/>
      <c r="G92" s="162"/>
      <c r="H92" s="162"/>
      <c r="I92" s="162"/>
      <c r="J92" s="162"/>
      <c r="K92" s="162"/>
    </row>
    <row r="93" spans="1:22" s="43" customFormat="1" x14ac:dyDescent="0.15">
      <c r="A93" s="243" t="s">
        <v>380</v>
      </c>
      <c r="B93" s="14">
        <v>1950</v>
      </c>
      <c r="C93" s="14">
        <v>1990</v>
      </c>
      <c r="D93" s="44">
        <v>2015</v>
      </c>
      <c r="E93" s="2">
        <v>2016</v>
      </c>
      <c r="F93" s="2">
        <v>2017</v>
      </c>
      <c r="G93" s="2">
        <v>2018</v>
      </c>
      <c r="H93" s="2">
        <v>2019</v>
      </c>
      <c r="I93" s="2">
        <v>2020</v>
      </c>
      <c r="J93" s="2">
        <v>2021</v>
      </c>
      <c r="K93" s="2">
        <v>2025</v>
      </c>
    </row>
    <row r="94" spans="1:22" x14ac:dyDescent="0.15">
      <c r="B94"/>
      <c r="C94" s="2"/>
      <c r="D94" s="43"/>
    </row>
    <row r="95" spans="1:22" s="249" customFormat="1" x14ac:dyDescent="0.15">
      <c r="A95" s="246" t="s">
        <v>9</v>
      </c>
      <c r="B95" s="247">
        <f>(B7-B87)+(B90-B79)</f>
        <v>12173.911910574938</v>
      </c>
      <c r="C95" s="247">
        <f>(C7-C87)+(C90-C79)</f>
        <v>115690.60803438234</v>
      </c>
      <c r="D95" s="247">
        <f t="shared" ref="D95:K95" si="40">(D7-D87)+D90-D79</f>
        <v>402665.37681348319</v>
      </c>
      <c r="E95" s="247">
        <f t="shared" si="40"/>
        <v>413164.74157264177</v>
      </c>
      <c r="F95" s="247">
        <f t="shared" si="40"/>
        <v>411211.18262288417</v>
      </c>
      <c r="G95" s="247">
        <f t="shared" si="40"/>
        <v>408540.79867582419</v>
      </c>
      <c r="H95" s="247">
        <f t="shared" si="40"/>
        <v>407475.27154931449</v>
      </c>
      <c r="I95" s="247">
        <f t="shared" si="40"/>
        <v>234495.18421477149</v>
      </c>
      <c r="J95" s="247">
        <f t="shared" si="40"/>
        <v>139940.81670444226</v>
      </c>
      <c r="K95" s="247">
        <f t="shared" si="40"/>
        <v>134764.45190032618</v>
      </c>
      <c r="L95" s="248"/>
      <c r="T95" s="250"/>
      <c r="U95" s="250"/>
      <c r="V95" s="250"/>
    </row>
    <row r="96" spans="1:22" s="249" customFormat="1" x14ac:dyDescent="0.15">
      <c r="A96" s="251" t="s">
        <v>370</v>
      </c>
      <c r="B96" s="252">
        <f t="shared" ref="B96:K96" si="41">B90-B79</f>
        <v>4441.6353284853249</v>
      </c>
      <c r="C96" s="252">
        <f t="shared" si="41"/>
        <v>86451.608034382341</v>
      </c>
      <c r="D96" s="252">
        <f t="shared" si="41"/>
        <v>346015.37681348319</v>
      </c>
      <c r="E96" s="252">
        <f t="shared" si="41"/>
        <v>355291.74157264177</v>
      </c>
      <c r="F96" s="252">
        <f t="shared" si="41"/>
        <v>351649.18262288417</v>
      </c>
      <c r="G96" s="252">
        <f t="shared" si="41"/>
        <v>346920.79867582419</v>
      </c>
      <c r="H96" s="252">
        <f t="shared" si="41"/>
        <v>345005.27154931449</v>
      </c>
      <c r="I96" s="252">
        <f t="shared" si="41"/>
        <v>164164.18421477149</v>
      </c>
      <c r="J96" s="252">
        <f t="shared" si="41"/>
        <v>66228.816704442259</v>
      </c>
      <c r="K96" s="252">
        <f t="shared" si="41"/>
        <v>63460.451900326181</v>
      </c>
    </row>
    <row r="97" spans="1:22" x14ac:dyDescent="0.15">
      <c r="B97"/>
      <c r="C97"/>
      <c r="D97" s="43"/>
    </row>
    <row r="98" spans="1:22" s="249" customFormat="1" x14ac:dyDescent="0.15">
      <c r="A98" s="253" t="s">
        <v>231</v>
      </c>
      <c r="B98" s="247">
        <f t="shared" ref="B98:K98" si="42">1000*B95/B11</f>
        <v>4871.5133695778059</v>
      </c>
      <c r="C98" s="247">
        <f t="shared" si="42"/>
        <v>21762.717839424819</v>
      </c>
      <c r="D98" s="247">
        <f t="shared" si="42"/>
        <v>54216.423429848277</v>
      </c>
      <c r="E98" s="247">
        <f t="shared" si="42"/>
        <v>54993.310471534911</v>
      </c>
      <c r="F98" s="247">
        <f t="shared" si="42"/>
        <v>54106.734555642652</v>
      </c>
      <c r="G98" s="247">
        <f t="shared" si="42"/>
        <v>53167.724970825635</v>
      </c>
      <c r="H98" s="247">
        <f t="shared" si="42"/>
        <v>52475.88815831481</v>
      </c>
      <c r="I98" s="247">
        <f t="shared" si="42"/>
        <v>29906.285450168536</v>
      </c>
      <c r="J98" s="247">
        <f t="shared" si="42"/>
        <v>17693.869857686466</v>
      </c>
      <c r="K98" s="247">
        <f t="shared" si="42"/>
        <v>16450.738757364037</v>
      </c>
      <c r="L98" s="248"/>
      <c r="T98" s="250"/>
      <c r="U98" s="250"/>
      <c r="V98" s="250"/>
    </row>
    <row r="99" spans="1:22" s="249" customFormat="1" x14ac:dyDescent="0.15">
      <c r="A99" s="251" t="s">
        <v>375</v>
      </c>
      <c r="B99" s="254">
        <f t="shared" ref="B99:K99" si="43">B96/(B11/1000)</f>
        <v>1777.3650774250998</v>
      </c>
      <c r="C99" s="254">
        <f t="shared" si="43"/>
        <v>16262.529728062895</v>
      </c>
      <c r="D99" s="254">
        <f t="shared" si="43"/>
        <v>46588.848365892445</v>
      </c>
      <c r="E99" s="254">
        <f t="shared" si="43"/>
        <v>47290.262421488325</v>
      </c>
      <c r="F99" s="254">
        <f t="shared" si="43"/>
        <v>46269.629292484758</v>
      </c>
      <c r="G99" s="254">
        <f t="shared" si="43"/>
        <v>45148.464169159837</v>
      </c>
      <c r="H99" s="254">
        <f t="shared" si="43"/>
        <v>44430.814108089442</v>
      </c>
      <c r="I99" s="254">
        <f t="shared" si="43"/>
        <v>20936.638721434956</v>
      </c>
      <c r="J99" s="254">
        <f t="shared" si="43"/>
        <v>8373.8546850982748</v>
      </c>
      <c r="K99" s="254">
        <f t="shared" si="43"/>
        <v>7746.6371948640353</v>
      </c>
      <c r="L99" s="248"/>
      <c r="T99" s="250"/>
      <c r="U99" s="250"/>
      <c r="V99" s="250"/>
    </row>
    <row r="100" spans="1:22" x14ac:dyDescent="0.15">
      <c r="B100"/>
      <c r="C100" s="2"/>
      <c r="D100" s="143"/>
      <c r="E100" s="2"/>
      <c r="F100" s="2"/>
      <c r="G100" s="2"/>
      <c r="H100" s="2"/>
      <c r="I100" s="2"/>
      <c r="J100" s="2"/>
      <c r="K100" s="5"/>
      <c r="L100" s="13"/>
      <c r="T100" s="2"/>
      <c r="U100" s="2"/>
      <c r="V100" s="2"/>
    </row>
    <row r="101" spans="1:22" ht="18" x14ac:dyDescent="0.2">
      <c r="A101" s="112" t="s">
        <v>63</v>
      </c>
      <c r="B101"/>
      <c r="C101" s="2"/>
      <c r="D101" s="162"/>
      <c r="E101" s="2"/>
      <c r="F101" s="2"/>
      <c r="G101" s="2"/>
      <c r="H101" s="2"/>
      <c r="I101" s="2"/>
      <c r="J101" s="2"/>
      <c r="K101" s="128"/>
      <c r="L101" s="13"/>
      <c r="T101" s="2"/>
      <c r="U101" s="2"/>
      <c r="V101" s="2"/>
    </row>
    <row r="102" spans="1:22" x14ac:dyDescent="0.15">
      <c r="B102"/>
      <c r="C102" s="2"/>
      <c r="D102" s="162"/>
      <c r="E102" s="2"/>
      <c r="F102" s="2"/>
      <c r="G102" s="2"/>
      <c r="H102" s="2"/>
      <c r="I102" s="2"/>
      <c r="J102" s="2"/>
      <c r="K102" s="128"/>
      <c r="L102" s="13"/>
      <c r="T102" s="2"/>
      <c r="U102" s="2"/>
      <c r="V102" s="2"/>
    </row>
    <row r="103" spans="1:22" x14ac:dyDescent="0.15">
      <c r="A103" s="270" t="s">
        <v>15</v>
      </c>
      <c r="B103"/>
      <c r="C103" s="2"/>
      <c r="D103" s="162"/>
      <c r="E103" s="2"/>
      <c r="F103" s="2"/>
      <c r="G103" s="2"/>
      <c r="H103" s="2"/>
      <c r="I103" s="2"/>
      <c r="J103" s="2"/>
      <c r="K103" s="128"/>
      <c r="L103" s="13"/>
      <c r="T103" s="2"/>
      <c r="U103" s="2"/>
      <c r="V103" s="2"/>
    </row>
    <row r="104" spans="1:22" x14ac:dyDescent="0.15">
      <c r="B104" s="176">
        <v>1950</v>
      </c>
      <c r="C104" s="2">
        <v>1990</v>
      </c>
      <c r="D104" s="44">
        <v>2015</v>
      </c>
      <c r="E104" s="2">
        <v>2016</v>
      </c>
      <c r="F104" s="2">
        <v>2017</v>
      </c>
      <c r="G104" s="2">
        <v>2018</v>
      </c>
      <c r="H104" s="2">
        <v>2019</v>
      </c>
      <c r="I104" s="2">
        <v>2020</v>
      </c>
      <c r="J104" s="2">
        <v>2021</v>
      </c>
      <c r="K104" s="2">
        <v>2025</v>
      </c>
      <c r="L104" s="35" t="s">
        <v>98</v>
      </c>
      <c r="T104" s="2"/>
      <c r="U104" s="2"/>
      <c r="V104" s="2"/>
    </row>
    <row r="105" spans="1:22" s="277" customFormat="1" x14ac:dyDescent="0.15">
      <c r="A105" s="289" t="s">
        <v>93</v>
      </c>
      <c r="B105" s="290">
        <v>41880</v>
      </c>
      <c r="C105" s="275">
        <v>57996</v>
      </c>
      <c r="D105" s="275">
        <v>66422</v>
      </c>
      <c r="E105" s="275">
        <v>66602</v>
      </c>
      <c r="F105" s="275">
        <v>66774</v>
      </c>
      <c r="G105" s="275">
        <v>66992</v>
      </c>
      <c r="H105" s="275">
        <v>67258</v>
      </c>
      <c r="I105" s="275">
        <v>67454</v>
      </c>
      <c r="J105" s="275">
        <v>67626</v>
      </c>
      <c r="K105" s="275">
        <f>J105+4*116</f>
        <v>68090</v>
      </c>
      <c r="L105" s="291" t="s">
        <v>227</v>
      </c>
      <c r="T105" s="275"/>
      <c r="U105" s="275"/>
      <c r="V105" s="275"/>
    </row>
    <row r="106" spans="1:22" s="277" customFormat="1" x14ac:dyDescent="0.15">
      <c r="A106" s="289" t="s">
        <v>226</v>
      </c>
      <c r="B106" s="292">
        <f>(C106/C105)*B105</f>
        <v>16995.931719428925</v>
      </c>
      <c r="C106" s="293">
        <v>23536.2</v>
      </c>
      <c r="D106" s="293">
        <v>26644.7</v>
      </c>
      <c r="E106" s="293">
        <v>26773.9</v>
      </c>
      <c r="F106" s="293">
        <v>27014</v>
      </c>
      <c r="G106" s="293">
        <v>27272</v>
      </c>
      <c r="H106" s="293">
        <v>27435.200000000001</v>
      </c>
      <c r="I106" s="293">
        <v>27343.4</v>
      </c>
      <c r="J106" s="293">
        <v>27880.5</v>
      </c>
      <c r="K106" s="294">
        <f>J106+(J106-F106)</f>
        <v>28747</v>
      </c>
      <c r="L106" s="291" t="s">
        <v>228</v>
      </c>
      <c r="T106" s="275"/>
      <c r="U106" s="275"/>
      <c r="V106" s="275"/>
    </row>
    <row r="107" spans="1:22" s="277" customFormat="1" x14ac:dyDescent="0.15">
      <c r="A107" s="277" t="s">
        <v>404</v>
      </c>
      <c r="B107" s="292">
        <v>293.39999999999998</v>
      </c>
      <c r="C107" s="279">
        <v>1480</v>
      </c>
      <c r="D107" s="279">
        <v>2181.1</v>
      </c>
      <c r="E107" s="279">
        <v>2198</v>
      </c>
      <c r="F107" s="279">
        <v>2248</v>
      </c>
      <c r="G107" s="279">
        <v>2290</v>
      </c>
      <c r="H107" s="279">
        <v>2332</v>
      </c>
      <c r="I107" s="279">
        <v>2317</v>
      </c>
      <c r="J107" s="292">
        <v>2501</v>
      </c>
      <c r="K107" s="279">
        <f>J107*K105/J105</f>
        <v>2518.1600272084702</v>
      </c>
      <c r="L107" s="291" t="s">
        <v>98</v>
      </c>
      <c r="T107" s="275"/>
      <c r="U107" s="275"/>
      <c r="V107" s="275"/>
    </row>
    <row r="108" spans="1:22" s="277" customFormat="1" x14ac:dyDescent="0.15">
      <c r="A108" s="277" t="s">
        <v>229</v>
      </c>
      <c r="B108" s="279">
        <f>C108*B107/C107</f>
        <v>4665.8926216216214</v>
      </c>
      <c r="C108" s="279">
        <v>23536.2</v>
      </c>
      <c r="D108" s="285">
        <v>23949.634864399999</v>
      </c>
      <c r="E108" s="285">
        <v>24037.865201600001</v>
      </c>
      <c r="F108" s="285">
        <v>24155.505651200001</v>
      </c>
      <c r="G108" s="285">
        <v>24430.000033600001</v>
      </c>
      <c r="H108" s="285">
        <v>24694.691045200001</v>
      </c>
      <c r="I108" s="285">
        <v>22400</v>
      </c>
      <c r="J108" s="285">
        <v>23547.345522600001</v>
      </c>
      <c r="K108" s="285">
        <v>25439.747226</v>
      </c>
    </row>
    <row r="109" spans="1:22" s="277" customFormat="1" x14ac:dyDescent="0.15">
      <c r="A109" s="277" t="s">
        <v>202</v>
      </c>
      <c r="B109" s="279">
        <f>C109*B10/C10</f>
        <v>142.9484253765404</v>
      </c>
      <c r="C109" s="275">
        <f>522</f>
        <v>522</v>
      </c>
      <c r="D109" s="275">
        <v>617</v>
      </c>
      <c r="E109" s="275">
        <v>609</v>
      </c>
      <c r="F109" s="275">
        <v>633</v>
      </c>
      <c r="G109" s="275">
        <v>615</v>
      </c>
      <c r="H109" s="275">
        <v>605</v>
      </c>
      <c r="I109" s="275">
        <v>552</v>
      </c>
      <c r="J109" s="275">
        <v>604</v>
      </c>
      <c r="K109" s="279">
        <f>(D109+E109+F109+G109)/4</f>
        <v>618.5</v>
      </c>
      <c r="L109" s="299" t="s">
        <v>400</v>
      </c>
    </row>
    <row r="110" spans="1:22" s="277" customFormat="1" x14ac:dyDescent="0.15">
      <c r="A110" s="289" t="s">
        <v>95</v>
      </c>
      <c r="B110" s="290">
        <f>345000+(345000-326000)*(11/10)</f>
        <v>365900</v>
      </c>
      <c r="C110" s="279">
        <v>305928</v>
      </c>
      <c r="D110" s="279">
        <v>287269</v>
      </c>
      <c r="E110" s="279">
        <v>287180</v>
      </c>
      <c r="F110" s="279">
        <v>286975</v>
      </c>
      <c r="G110" s="279">
        <v>286601</v>
      </c>
      <c r="H110" s="279">
        <v>286212</v>
      </c>
      <c r="I110" s="279">
        <v>285538</v>
      </c>
      <c r="J110" s="292">
        <f>I110+(I110-H110)</f>
        <v>284864</v>
      </c>
      <c r="K110" s="279">
        <f>J110+(J110-I110)*4/2</f>
        <v>283516</v>
      </c>
      <c r="L110" s="295" t="s">
        <v>304</v>
      </c>
      <c r="T110" s="275"/>
      <c r="U110" s="275"/>
      <c r="V110" s="275"/>
    </row>
    <row r="111" spans="1:22" s="277" customFormat="1" x14ac:dyDescent="0.15">
      <c r="A111" s="289" t="s">
        <v>388</v>
      </c>
      <c r="B111" s="296">
        <f>46.6*B105/67258</f>
        <v>29.016741502869547</v>
      </c>
      <c r="C111" s="296">
        <f t="shared" ref="C111:K111" si="44">46.6*C105/67258</f>
        <v>40.18278271729757</v>
      </c>
      <c r="D111" s="296">
        <f t="shared" si="44"/>
        <v>46.020773736953231</v>
      </c>
      <c r="E111" s="296">
        <f t="shared" si="44"/>
        <v>46.145487525647511</v>
      </c>
      <c r="F111" s="296">
        <f t="shared" si="44"/>
        <v>46.264658479288705</v>
      </c>
      <c r="G111" s="296">
        <f t="shared" si="44"/>
        <v>46.415700734485121</v>
      </c>
      <c r="H111" s="296">
        <f>46.6</f>
        <v>46.6</v>
      </c>
      <c r="I111" s="296">
        <f t="shared" si="44"/>
        <v>46.735799458800436</v>
      </c>
      <c r="J111" s="296">
        <f t="shared" si="44"/>
        <v>46.854970412441645</v>
      </c>
      <c r="K111" s="296">
        <f t="shared" si="44"/>
        <v>47.176454845520233</v>
      </c>
      <c r="L111" s="295"/>
      <c r="T111" s="275"/>
      <c r="U111" s="275"/>
      <c r="V111" s="275"/>
    </row>
    <row r="112" spans="1:22" x14ac:dyDescent="0.15">
      <c r="A112" s="27"/>
      <c r="B112" s="27"/>
      <c r="C112" s="3"/>
      <c r="D112" s="131"/>
      <c r="E112" s="3"/>
      <c r="F112" s="3"/>
      <c r="G112" s="2"/>
      <c r="H112" s="3"/>
      <c r="I112" s="3"/>
      <c r="J112" s="33"/>
      <c r="K112" s="5"/>
      <c r="L112" s="35"/>
      <c r="T112" s="2"/>
      <c r="U112" s="2"/>
      <c r="V112" s="2"/>
    </row>
    <row r="113" spans="1:22" x14ac:dyDescent="0.15">
      <c r="A113" s="110" t="s">
        <v>61</v>
      </c>
      <c r="B113" s="110"/>
      <c r="C113" s="3"/>
      <c r="D113" s="131"/>
      <c r="E113" s="3"/>
      <c r="F113" s="3"/>
      <c r="G113" s="2"/>
      <c r="H113" s="3"/>
      <c r="I113" s="3"/>
      <c r="J113" s="33"/>
      <c r="K113" s="5"/>
      <c r="L113" s="35"/>
      <c r="T113" s="2"/>
      <c r="U113" s="2"/>
      <c r="V113" s="2"/>
    </row>
    <row r="114" spans="1:22" x14ac:dyDescent="0.15">
      <c r="B114" s="43"/>
      <c r="C114" s="2"/>
      <c r="D114" s="43"/>
      <c r="T114" s="2"/>
      <c r="U114" s="2"/>
      <c r="V114" s="2"/>
    </row>
    <row r="115" spans="1:22" x14ac:dyDescent="0.15">
      <c r="A115" s="10" t="s">
        <v>187</v>
      </c>
      <c r="B115" s="10"/>
      <c r="C115" s="11"/>
      <c r="D115" s="144">
        <v>4.1000000000000002E-2</v>
      </c>
      <c r="E115" s="10"/>
      <c r="F115" s="11"/>
      <c r="G115" s="11"/>
      <c r="H115" s="11"/>
      <c r="I115" s="2"/>
      <c r="J115" s="2"/>
      <c r="K115" s="2"/>
    </row>
    <row r="116" spans="1:22" x14ac:dyDescent="0.15">
      <c r="A116" s="10" t="s">
        <v>72</v>
      </c>
      <c r="B116" s="10"/>
      <c r="C116" s="11"/>
      <c r="D116" s="144"/>
      <c r="E116" s="11"/>
      <c r="F116" s="10"/>
      <c r="G116" s="11"/>
      <c r="I116" s="2"/>
      <c r="J116" s="2"/>
      <c r="K116" s="2"/>
      <c r="L116" s="1" t="s">
        <v>179</v>
      </c>
    </row>
    <row r="117" spans="1:22" x14ac:dyDescent="0.15">
      <c r="A117" s="58" t="s">
        <v>294</v>
      </c>
      <c r="B117" s="58"/>
      <c r="C117" s="11"/>
      <c r="D117" s="145">
        <f>H117*D10/H10</f>
        <v>27.281884117023878</v>
      </c>
      <c r="E117" s="10"/>
      <c r="F117" s="10"/>
      <c r="G117" s="11"/>
      <c r="H117" s="12">
        <f>30*H17/5900</f>
        <v>28.983456930975471</v>
      </c>
      <c r="I117" s="64" t="s">
        <v>298</v>
      </c>
      <c r="J117" s="2"/>
      <c r="K117" s="2"/>
      <c r="L117" s="1" t="s">
        <v>169</v>
      </c>
    </row>
    <row r="118" spans="1:22" x14ac:dyDescent="0.15">
      <c r="A118" s="58" t="s">
        <v>295</v>
      </c>
      <c r="B118" s="58"/>
      <c r="C118" s="11"/>
      <c r="D118" s="145">
        <f>D117/1.258</f>
        <v>21.686712334677168</v>
      </c>
      <c r="E118" s="10"/>
      <c r="F118" s="11"/>
      <c r="G118" s="11"/>
      <c r="H118" s="16">
        <f>H117/1.258</f>
        <v>23.039313935592585</v>
      </c>
      <c r="I118" s="1" t="s">
        <v>271</v>
      </c>
      <c r="J118" s="2"/>
      <c r="K118" s="2"/>
    </row>
    <row r="119" spans="1:22" x14ac:dyDescent="0.15">
      <c r="A119" s="61" t="s">
        <v>296</v>
      </c>
      <c r="B119" s="61"/>
      <c r="C119" s="2"/>
      <c r="D119" s="44"/>
      <c r="E119" s="2"/>
      <c r="F119" s="2"/>
      <c r="G119" s="2"/>
      <c r="H119" s="2"/>
      <c r="I119" s="2"/>
      <c r="J119" s="2"/>
      <c r="K119" s="2"/>
    </row>
    <row r="120" spans="1:22" x14ac:dyDescent="0.15">
      <c r="B120"/>
      <c r="C120" s="2"/>
      <c r="D120" s="43"/>
    </row>
    <row r="121" spans="1:22" x14ac:dyDescent="0.15">
      <c r="A121" s="13" t="s">
        <v>250</v>
      </c>
      <c r="B121" s="14">
        <v>1950</v>
      </c>
      <c r="C121" s="2">
        <v>1990</v>
      </c>
      <c r="D121" s="44">
        <v>2015</v>
      </c>
      <c r="E121" s="2">
        <v>2016</v>
      </c>
      <c r="F121" s="2">
        <v>2017</v>
      </c>
      <c r="G121" s="2">
        <v>2018</v>
      </c>
      <c r="H121" s="2">
        <v>2019</v>
      </c>
      <c r="I121" s="2">
        <v>2020</v>
      </c>
      <c r="J121" s="2">
        <v>2021</v>
      </c>
      <c r="K121" s="2">
        <v>2025</v>
      </c>
    </row>
    <row r="122" spans="1:22" x14ac:dyDescent="0.15">
      <c r="B122"/>
      <c r="C122" s="2"/>
      <c r="D122" s="43"/>
    </row>
    <row r="123" spans="1:22" s="43" customFormat="1" x14ac:dyDescent="0.15">
      <c r="A123" s="99" t="s">
        <v>22</v>
      </c>
      <c r="B123" s="177">
        <f>C123*B109/C109</f>
        <v>3.8645760026154745</v>
      </c>
      <c r="C123" s="46">
        <f>H123*C10/H10</f>
        <v>14.112143369550839</v>
      </c>
      <c r="D123" s="130">
        <f>H123*D10/H10</f>
        <v>21.686712334677168</v>
      </c>
      <c r="E123" s="46">
        <f>H123*E10/H10</f>
        <v>22.002319374890764</v>
      </c>
      <c r="F123" s="46">
        <f>H123*F10/H10</f>
        <v>22.31792641510436</v>
      </c>
      <c r="G123" s="46">
        <f>H118*G10/H10</f>
        <v>22.858967055470529</v>
      </c>
      <c r="H123" s="46">
        <f>H118</f>
        <v>23.039313935592585</v>
      </c>
      <c r="I123" s="102">
        <f>H123*I10/H10</f>
        <v>23.71110606404724</v>
      </c>
      <c r="J123" s="53">
        <f>H123</f>
        <v>23.039313935592585</v>
      </c>
      <c r="K123" s="53">
        <f>H123*K10/H10</f>
        <v>28.269373459132193</v>
      </c>
      <c r="L123" s="43" t="s">
        <v>174</v>
      </c>
    </row>
    <row r="124" spans="1:22" x14ac:dyDescent="0.15">
      <c r="A124" t="s">
        <v>192</v>
      </c>
      <c r="B124"/>
      <c r="C124" s="3"/>
      <c r="D124" s="130"/>
      <c r="E124" s="3"/>
      <c r="F124" s="3"/>
      <c r="G124" s="3"/>
      <c r="H124" s="3"/>
      <c r="I124" s="6"/>
      <c r="J124" s="5"/>
      <c r="K124" s="5"/>
    </row>
    <row r="125" spans="1:22" x14ac:dyDescent="0.15">
      <c r="B125"/>
      <c r="C125" s="2"/>
      <c r="D125" s="43"/>
    </row>
    <row r="126" spans="1:22" s="61" customFormat="1" x14ac:dyDescent="0.15">
      <c r="A126" s="58" t="s">
        <v>297</v>
      </c>
      <c r="B126" s="58"/>
      <c r="C126" s="63"/>
      <c r="D126" s="136" t="str">
        <f>D24</f>
        <v>Charbon</v>
      </c>
      <c r="E126" s="63" t="str">
        <f>E24</f>
        <v xml:space="preserve">pétrole </v>
      </c>
      <c r="F126" s="63" t="str">
        <f>F24</f>
        <v>gaz</v>
      </c>
      <c r="G126" s="58"/>
      <c r="H126" s="63" t="s">
        <v>319</v>
      </c>
      <c r="I126" s="58" t="s">
        <v>194</v>
      </c>
      <c r="J126" s="63"/>
      <c r="K126" s="63"/>
      <c r="L126" s="61" t="s">
        <v>195</v>
      </c>
    </row>
    <row r="127" spans="1:22" x14ac:dyDescent="0.15">
      <c r="A127" s="58" t="s">
        <v>190</v>
      </c>
      <c r="B127" s="58"/>
      <c r="C127" s="11"/>
      <c r="D127" s="146">
        <v>2.5000000000000001E-2</v>
      </c>
      <c r="E127" s="22">
        <v>0.28100000000000003</v>
      </c>
      <c r="F127" s="22">
        <v>0.158</v>
      </c>
      <c r="G127" s="10"/>
      <c r="H127" s="10"/>
      <c r="I127" s="58" t="s">
        <v>178</v>
      </c>
      <c r="J127" s="10"/>
      <c r="K127" s="10"/>
    </row>
    <row r="128" spans="1:22" x14ac:dyDescent="0.15">
      <c r="A128" s="10" t="s">
        <v>242</v>
      </c>
      <c r="B128" s="10"/>
      <c r="C128" s="11"/>
      <c r="D128" s="147">
        <f>D127*23/(D127+E127+F127)</f>
        <v>1.2392241379310345</v>
      </c>
      <c r="E128" s="21">
        <f>E127*23/(D127+E127+F127)</f>
        <v>13.928879310344827</v>
      </c>
      <c r="F128" s="21">
        <f>F127*23/(D127+E127+F127)</f>
        <v>7.8318965517241361</v>
      </c>
      <c r="G128" s="10"/>
      <c r="H128" s="16">
        <f>D128+E128+F128</f>
        <v>22.999999999999996</v>
      </c>
      <c r="I128" s="10"/>
      <c r="J128" s="10"/>
      <c r="K128" s="10"/>
    </row>
    <row r="129" spans="1:14" x14ac:dyDescent="0.15">
      <c r="A129" s="10" t="s">
        <v>243</v>
      </c>
      <c r="B129" s="10"/>
      <c r="C129" s="11"/>
      <c r="D129" s="147">
        <v>0.63</v>
      </c>
      <c r="E129" s="21">
        <f>H137</f>
        <v>0.73647819063004849</v>
      </c>
      <c r="F129" s="21">
        <v>1.05</v>
      </c>
      <c r="G129" s="10"/>
      <c r="H129" s="21"/>
      <c r="I129" s="10"/>
      <c r="J129" s="10"/>
      <c r="K129" s="10"/>
      <c r="L129" t="s">
        <v>244</v>
      </c>
    </row>
    <row r="130" spans="1:14" s="57" customFormat="1" x14ac:dyDescent="0.15">
      <c r="A130" s="9" t="s">
        <v>198</v>
      </c>
      <c r="B130" s="9"/>
      <c r="C130" s="25"/>
      <c r="D130" s="148">
        <f>D128/(1-D129)</f>
        <v>3.3492544268406337</v>
      </c>
      <c r="E130" s="59">
        <f>E128/(1-E129)</f>
        <v>52.856647211276659</v>
      </c>
      <c r="F130" s="59">
        <f>F128/F129</f>
        <v>7.4589490968801293</v>
      </c>
      <c r="G130" s="58"/>
      <c r="H130" s="59">
        <f>D130+E130+F130</f>
        <v>63.664850734997415</v>
      </c>
      <c r="I130" s="56"/>
      <c r="J130" s="56"/>
      <c r="K130" s="56"/>
    </row>
    <row r="131" spans="1:14" x14ac:dyDescent="0.15">
      <c r="A131" s="58" t="s">
        <v>318</v>
      </c>
      <c r="B131" s="58"/>
      <c r="C131" s="25"/>
      <c r="D131" s="147">
        <f>D130+D128</f>
        <v>4.5884785647716679</v>
      </c>
      <c r="E131" s="21">
        <f>E130+E128</f>
        <v>66.785526521621492</v>
      </c>
      <c r="F131" s="21">
        <f>F128+F130</f>
        <v>15.290845648604265</v>
      </c>
      <c r="G131" s="10"/>
      <c r="H131" s="21">
        <f>D131+E131+F131</f>
        <v>86.664850734997415</v>
      </c>
      <c r="I131" s="10"/>
      <c r="J131" s="10"/>
      <c r="K131" s="10"/>
      <c r="N131" s="3"/>
    </row>
    <row r="132" spans="1:14" x14ac:dyDescent="0.15">
      <c r="B132"/>
      <c r="C132" s="2"/>
      <c r="D132" s="43"/>
      <c r="N132" s="4"/>
    </row>
    <row r="133" spans="1:14" x14ac:dyDescent="0.15">
      <c r="A133" s="60" t="s">
        <v>199</v>
      </c>
      <c r="B133" s="60"/>
      <c r="C133" s="11"/>
      <c r="D133" s="149">
        <v>34.799999999999997</v>
      </c>
      <c r="E133" s="18">
        <v>34.799999999999997</v>
      </c>
      <c r="F133" s="19">
        <v>34.700000000000003</v>
      </c>
      <c r="G133" s="19">
        <v>33.6</v>
      </c>
      <c r="H133" s="19">
        <f>32.8+5.4+7.8+7.1+0.3</f>
        <v>53.399999999999991</v>
      </c>
      <c r="I133" s="20">
        <v>27.7</v>
      </c>
      <c r="J133" s="19">
        <v>30.8</v>
      </c>
      <c r="L133" s="61" t="s">
        <v>277</v>
      </c>
    </row>
    <row r="134" spans="1:14" x14ac:dyDescent="0.15">
      <c r="A134" s="17" t="s">
        <v>127</v>
      </c>
      <c r="B134" s="17"/>
      <c r="C134" s="11"/>
      <c r="D134" s="144"/>
      <c r="E134" s="11"/>
      <c r="F134" s="11"/>
      <c r="G134" s="11"/>
      <c r="H134" s="21">
        <v>0.72</v>
      </c>
      <c r="I134" s="11"/>
      <c r="J134" s="11"/>
    </row>
    <row r="135" spans="1:14" x14ac:dyDescent="0.15">
      <c r="A135" s="17" t="s">
        <v>128</v>
      </c>
      <c r="B135" s="17"/>
      <c r="C135" s="11"/>
      <c r="D135" s="149">
        <v>7.2</v>
      </c>
      <c r="E135" s="18">
        <v>7.4</v>
      </c>
      <c r="F135" s="19">
        <v>7.7</v>
      </c>
      <c r="G135" s="19">
        <v>8</v>
      </c>
      <c r="H135" s="19">
        <v>8.5</v>
      </c>
      <c r="I135" s="20">
        <v>7.4</v>
      </c>
      <c r="J135" s="19">
        <v>8.9</v>
      </c>
      <c r="L135" t="s">
        <v>277</v>
      </c>
    </row>
    <row r="136" spans="1:14" x14ac:dyDescent="0.15">
      <c r="A136" s="60" t="s">
        <v>200</v>
      </c>
      <c r="B136" s="60"/>
      <c r="C136" s="16"/>
      <c r="D136" s="144"/>
      <c r="E136" s="11"/>
      <c r="F136" s="11"/>
      <c r="G136" s="11"/>
      <c r="H136" s="11">
        <v>0.84</v>
      </c>
      <c r="I136" s="11"/>
      <c r="J136" s="11"/>
    </row>
    <row r="137" spans="1:14" x14ac:dyDescent="0.15">
      <c r="A137" s="60" t="s">
        <v>276</v>
      </c>
      <c r="B137" s="60"/>
      <c r="C137" s="11"/>
      <c r="D137" s="150"/>
      <c r="E137" s="10"/>
      <c r="F137" s="10"/>
      <c r="G137" s="10"/>
      <c r="H137" s="21">
        <f>(H134*H133+H136*H135)/(H135+H133)</f>
        <v>0.73647819063004849</v>
      </c>
      <c r="I137" s="10"/>
      <c r="J137" s="10"/>
    </row>
    <row r="138" spans="1:14" x14ac:dyDescent="0.15">
      <c r="B138"/>
      <c r="C138" s="2"/>
      <c r="D138" s="43"/>
    </row>
    <row r="139" spans="1:14" x14ac:dyDescent="0.15">
      <c r="A139" s="27"/>
      <c r="B139" s="26">
        <v>1950</v>
      </c>
      <c r="C139" s="14">
        <v>1990</v>
      </c>
      <c r="D139" s="44">
        <v>2015</v>
      </c>
      <c r="E139" s="2">
        <v>2016</v>
      </c>
      <c r="F139" s="2">
        <v>2017</v>
      </c>
      <c r="G139" s="2">
        <v>2018</v>
      </c>
      <c r="H139" s="2">
        <v>2019</v>
      </c>
      <c r="I139" s="2">
        <v>2020</v>
      </c>
      <c r="J139" s="2">
        <v>2021</v>
      </c>
      <c r="K139" s="2">
        <v>2025</v>
      </c>
      <c r="N139" s="4"/>
    </row>
    <row r="140" spans="1:14" x14ac:dyDescent="0.15">
      <c r="A140" s="61" t="s">
        <v>222</v>
      </c>
      <c r="B140" s="181">
        <f>D140*B109/D109</f>
        <v>13.803228449022127</v>
      </c>
      <c r="C140" s="29">
        <f t="shared" ref="C140:K140" si="45">63.7*C107/2332</f>
        <v>40.427101200686103</v>
      </c>
      <c r="D140" s="29">
        <f t="shared" si="45"/>
        <v>59.57807461406518</v>
      </c>
      <c r="E140" s="29">
        <f t="shared" si="45"/>
        <v>60.039708404802745</v>
      </c>
      <c r="F140" s="29">
        <f t="shared" si="45"/>
        <v>61.405488850771874</v>
      </c>
      <c r="G140" s="29">
        <f t="shared" si="45"/>
        <v>62.552744425385931</v>
      </c>
      <c r="H140" s="29">
        <f t="shared" si="45"/>
        <v>63.699999999999996</v>
      </c>
      <c r="I140" s="29">
        <f t="shared" si="45"/>
        <v>63.290265866209261</v>
      </c>
      <c r="J140" s="29">
        <f t="shared" si="45"/>
        <v>68.316337907375654</v>
      </c>
      <c r="K140" s="29">
        <f t="shared" si="45"/>
        <v>68.785074499648189</v>
      </c>
      <c r="L140" t="s">
        <v>129</v>
      </c>
      <c r="N140" s="4"/>
    </row>
    <row r="141" spans="1:14" s="185" customFormat="1" x14ac:dyDescent="0.15">
      <c r="A141" s="202" t="s">
        <v>311</v>
      </c>
      <c r="B141" s="182">
        <f>C123*B109/C109</f>
        <v>3.8645760026154745</v>
      </c>
      <c r="C141" s="183">
        <f>B141+40*B123+(C123-B123)*40/2</f>
        <v>363.39896344594172</v>
      </c>
      <c r="D141" s="184">
        <f>C141+25*C123+(D123-C123)*25/2</f>
        <v>810.88465974879182</v>
      </c>
      <c r="E141" s="184">
        <f>D141+E123</f>
        <v>832.88697912368264</v>
      </c>
      <c r="F141" s="184">
        <f t="shared" ref="F141:I141" si="46">E141+F123</f>
        <v>855.20490553878699</v>
      </c>
      <c r="G141" s="184">
        <f t="shared" si="46"/>
        <v>878.06387259425753</v>
      </c>
      <c r="H141" s="184">
        <f t="shared" si="46"/>
        <v>901.10318652985006</v>
      </c>
      <c r="I141" s="184">
        <f t="shared" si="46"/>
        <v>924.81429259389733</v>
      </c>
      <c r="J141" s="184">
        <f>I141+J123</f>
        <v>947.85360652948987</v>
      </c>
      <c r="K141" s="184">
        <f>J141+4*J123+(K123-J123)*4/2</f>
        <v>1050.4709813189393</v>
      </c>
      <c r="N141" s="182"/>
    </row>
    <row r="142" spans="1:14" x14ac:dyDescent="0.15">
      <c r="A142" s="98"/>
      <c r="B142" s="98"/>
      <c r="C142"/>
      <c r="D142" s="43"/>
    </row>
    <row r="143" spans="1:14" x14ac:dyDescent="0.15">
      <c r="B143"/>
      <c r="C143" s="2"/>
      <c r="D143" s="43"/>
    </row>
    <row r="144" spans="1:14" s="43" customFormat="1" x14ac:dyDescent="0.15">
      <c r="A144" s="172" t="s">
        <v>306</v>
      </c>
      <c r="B144" s="162">
        <f>C144*B109/C109</f>
        <v>8.7184838352656744</v>
      </c>
      <c r="C144" s="53">
        <f t="shared" ref="C144:K144" si="47">C35*C109/C10</f>
        <v>31.83699680511182</v>
      </c>
      <c r="D144" s="143">
        <f t="shared" si="47"/>
        <v>36.968690228690228</v>
      </c>
      <c r="E144" s="53">
        <f t="shared" si="47"/>
        <v>57.967315573770492</v>
      </c>
      <c r="F144" s="53">
        <f t="shared" si="47"/>
        <v>57.161818181818184</v>
      </c>
      <c r="G144" s="53">
        <f t="shared" si="47"/>
        <v>61.669822485207099</v>
      </c>
      <c r="H144" s="53">
        <f t="shared" si="47"/>
        <v>71.214774951076322</v>
      </c>
      <c r="I144" s="53">
        <f t="shared" si="47"/>
        <v>77.467257137052172</v>
      </c>
      <c r="J144" s="53">
        <f t="shared" si="47"/>
        <v>100.19654754578059</v>
      </c>
      <c r="K144" s="53">
        <f t="shared" si="47"/>
        <v>109.60937891646024</v>
      </c>
      <c r="L144" s="99" t="s">
        <v>186</v>
      </c>
    </row>
    <row r="145" spans="1:12" s="43" customFormat="1" x14ac:dyDescent="0.15">
      <c r="A145" s="172" t="s">
        <v>305</v>
      </c>
      <c r="B145" s="163">
        <f>(B144*60*(2181/2332)*(B107/2181)/1000)</f>
        <v>6.5814832519732802E-2</v>
      </c>
      <c r="C145" s="163">
        <f>(C144*60*(2181/2332)*(C107/2181)/1000)</f>
        <v>1.2123178886337607</v>
      </c>
      <c r="D145" s="163">
        <f>(D144*60*(2181/2332)*(D107/2181)/1000)</f>
        <v>2.0745903153806924</v>
      </c>
      <c r="E145" s="163">
        <f t="shared" ref="E145:G145" si="48">(E144*60*(2181/2332)*(E107/2181)/1000)</f>
        <v>3.2781859253296965</v>
      </c>
      <c r="F145" s="163">
        <f t="shared" si="48"/>
        <v>3.3061689692811478</v>
      </c>
      <c r="G145" s="163">
        <f t="shared" si="48"/>
        <v>3.6335478599774684</v>
      </c>
      <c r="H145" s="163">
        <f>(H144*60*(2181/2332)*(H107/2181)/1000)</f>
        <v>4.2728864970645795</v>
      </c>
      <c r="I145" s="163">
        <f t="shared" ref="I145" si="49">(I144*60*(2181/2332)*(I107/2181)/1000)</f>
        <v>4.6181381162920214</v>
      </c>
      <c r="J145" s="163">
        <f t="shared" ref="J145" si="50">(J144*60*(2181/2332)*(J107/2181)/1000)</f>
        <v>6.4474673776671683</v>
      </c>
      <c r="K145" s="163">
        <f>(K144*60*(2181/2332)*(K107/2181)/1000)</f>
        <v>7.101559775160645</v>
      </c>
      <c r="L145" s="172" t="s">
        <v>307</v>
      </c>
    </row>
    <row r="146" spans="1:12" s="185" customFormat="1" x14ac:dyDescent="0.15">
      <c r="A146" s="202" t="s">
        <v>312</v>
      </c>
      <c r="B146" s="192">
        <f>B145</f>
        <v>6.5814832519732802E-2</v>
      </c>
      <c r="C146" s="198">
        <f>B146+40*B146+(C145-B145)*40/2</f>
        <v>25.628469255589604</v>
      </c>
      <c r="D146" s="198">
        <f>C146+25*C145+(D145-C145)*25/2</f>
        <v>66.714821805770271</v>
      </c>
      <c r="E146" s="198">
        <f>D146+E145</f>
        <v>69.993007731099965</v>
      </c>
      <c r="F146" s="198">
        <f t="shared" ref="F146:H146" si="51">E146+F145</f>
        <v>73.299176700381111</v>
      </c>
      <c r="G146" s="198">
        <f t="shared" si="51"/>
        <v>76.932724560358579</v>
      </c>
      <c r="H146" s="198">
        <f t="shared" si="51"/>
        <v>81.205611057423155</v>
      </c>
      <c r="I146" s="198">
        <f>H146+I145</f>
        <v>85.823749173715171</v>
      </c>
      <c r="J146" s="198">
        <f t="shared" ref="J146" si="52">I146+J145</f>
        <v>92.271216551382338</v>
      </c>
      <c r="K146" s="198">
        <f t="shared" ref="K146" si="53">J146+K145</f>
        <v>99.372776326542976</v>
      </c>
    </row>
    <row r="147" spans="1:12" s="43" customFormat="1" x14ac:dyDescent="0.15">
      <c r="A147" s="70" t="s">
        <v>81</v>
      </c>
      <c r="B147" s="48">
        <f t="shared" ref="B147:K147" si="54">(B41/1.258)*(B107/B8)</f>
        <v>2.2575947202709886E-2</v>
      </c>
      <c r="C147" s="48">
        <f t="shared" si="54"/>
        <v>0.11388003360603487</v>
      </c>
      <c r="D147" s="48">
        <f t="shared" si="54"/>
        <v>0.41973719924095837</v>
      </c>
      <c r="E147" s="48">
        <f t="shared" si="54"/>
        <v>0.48214690641965363</v>
      </c>
      <c r="F147" s="48">
        <f t="shared" si="54"/>
        <v>0.47802185264292518</v>
      </c>
      <c r="G147" s="48">
        <f t="shared" si="54"/>
        <v>0.47243604565278335</v>
      </c>
      <c r="H147" s="48">
        <f t="shared" si="54"/>
        <v>0.48110081155558554</v>
      </c>
      <c r="I147" s="48">
        <f t="shared" si="54"/>
        <v>0.47800625230458477</v>
      </c>
      <c r="J147" s="48">
        <f t="shared" si="54"/>
        <v>0.51596617911686105</v>
      </c>
      <c r="K147" s="48">
        <f t="shared" si="54"/>
        <v>0.51950636051322074</v>
      </c>
      <c r="L147" s="89" t="s">
        <v>29</v>
      </c>
    </row>
    <row r="148" spans="1:12" s="185" customFormat="1" x14ac:dyDescent="0.15">
      <c r="A148" s="186" t="s">
        <v>313</v>
      </c>
      <c r="B148" s="192">
        <f>B147</f>
        <v>2.2575947202709886E-2</v>
      </c>
      <c r="C148" s="215">
        <f>B148+40*B147+(C147-B147)*40/2</f>
        <v>2.7516955633776048</v>
      </c>
      <c r="D148" s="216">
        <f>(C148+25*C147)+(D147-C147)*25/2</f>
        <v>9.4219109739650193</v>
      </c>
      <c r="E148" s="216">
        <f>D148+E147</f>
        <v>9.9040578803846735</v>
      </c>
      <c r="F148" s="216">
        <f>E148+F147</f>
        <v>10.382079733027599</v>
      </c>
      <c r="G148" s="216">
        <f t="shared" ref="G148:I148" si="55">F148+G147</f>
        <v>10.854515778680382</v>
      </c>
      <c r="H148" s="216">
        <f>G148+H147</f>
        <v>11.335616590235967</v>
      </c>
      <c r="I148" s="216">
        <f t="shared" si="55"/>
        <v>11.813622842540552</v>
      </c>
      <c r="J148" s="216">
        <f>I148+J147</f>
        <v>12.329589021657412</v>
      </c>
      <c r="K148" s="216">
        <f>J148+4*J147+(K147-J147)*4/2</f>
        <v>14.400534100917575</v>
      </c>
      <c r="L148" s="211" t="s">
        <v>184</v>
      </c>
    </row>
    <row r="149" spans="1:12" s="43" customFormat="1" x14ac:dyDescent="0.15">
      <c r="A149" s="70" t="s">
        <v>83</v>
      </c>
      <c r="B149" s="48">
        <f t="shared" ref="B149:K149" si="56">(B45/1.258)*(B107/B8)</f>
        <v>7.249756520661868E-2</v>
      </c>
      <c r="C149" s="48">
        <f t="shared" si="56"/>
        <v>0.36570005625697222</v>
      </c>
      <c r="D149" s="48">
        <f t="shared" si="56"/>
        <v>0.63482556712508376</v>
      </c>
      <c r="E149" s="48">
        <f>(E45/1.258)*(E107/E8)</f>
        <v>0.46541498680651538</v>
      </c>
      <c r="F149" s="48">
        <f t="shared" si="56"/>
        <v>0.46962461957092339</v>
      </c>
      <c r="G149" s="48">
        <f t="shared" si="56"/>
        <v>0.50920016585618499</v>
      </c>
      <c r="H149" s="48">
        <f t="shared" si="56"/>
        <v>0.46176032148674345</v>
      </c>
      <c r="I149" s="48">
        <f t="shared" si="56"/>
        <v>0.48289306130784976</v>
      </c>
      <c r="J149" s="48">
        <f t="shared" si="56"/>
        <v>0.88951585933483779</v>
      </c>
      <c r="K149" s="48">
        <f t="shared" si="56"/>
        <v>0.91064923514054041</v>
      </c>
      <c r="L149" s="89" t="s">
        <v>29</v>
      </c>
    </row>
    <row r="150" spans="1:12" s="185" customFormat="1" x14ac:dyDescent="0.15">
      <c r="A150" s="186" t="s">
        <v>314</v>
      </c>
      <c r="B150" s="192">
        <f>B149</f>
        <v>7.249756520661868E-2</v>
      </c>
      <c r="C150" s="215">
        <f>B150+40*B149+(C149-B149)*40/2</f>
        <v>8.8364499944784374</v>
      </c>
      <c r="D150" s="215">
        <f>C150+25*C149+(D149-C149)*25/2</f>
        <v>21.34302028675414</v>
      </c>
      <c r="E150" s="215">
        <f>D150+E149</f>
        <v>21.808435273560654</v>
      </c>
      <c r="F150" s="215">
        <f t="shared" ref="F150:J150" si="57">E150+F149</f>
        <v>22.278059893131577</v>
      </c>
      <c r="G150" s="215">
        <f>F150+G149</f>
        <v>22.787260058987762</v>
      </c>
      <c r="H150" s="215">
        <f t="shared" si="57"/>
        <v>23.249020380474505</v>
      </c>
      <c r="I150" s="215">
        <f t="shared" si="57"/>
        <v>23.731913441782353</v>
      </c>
      <c r="J150" s="215">
        <f t="shared" si="57"/>
        <v>24.621429301117193</v>
      </c>
      <c r="K150" s="215">
        <f>J150+4*J149+(K149-J149)*4/2</f>
        <v>28.221759490067949</v>
      </c>
      <c r="L150" s="211" t="s">
        <v>29</v>
      </c>
    </row>
    <row r="151" spans="1:12" s="43" customFormat="1" x14ac:dyDescent="0.15">
      <c r="A151" s="172" t="s">
        <v>310</v>
      </c>
      <c r="B151" s="79">
        <f>649*B107/1520</f>
        <v>125.27407894736841</v>
      </c>
      <c r="C151" s="52">
        <f>649*C107/1520</f>
        <v>631.92105263157896</v>
      </c>
      <c r="D151" s="143">
        <v>1327.12</v>
      </c>
      <c r="E151" s="53">
        <v>1331.86</v>
      </c>
      <c r="F151" s="53">
        <v>1337.99</v>
      </c>
      <c r="G151" s="53">
        <v>1341.78</v>
      </c>
      <c r="H151" s="53">
        <v>1345.11</v>
      </c>
      <c r="I151" s="53">
        <v>1345.19</v>
      </c>
      <c r="J151" s="93">
        <f>I151*J107/I107</f>
        <v>1452.0156193353473</v>
      </c>
      <c r="K151" s="93">
        <f>I151+(J151-I151)*4/2</f>
        <v>1558.8412386706946</v>
      </c>
      <c r="L151" s="89"/>
    </row>
    <row r="152" spans="1:12" s="43" customFormat="1" x14ac:dyDescent="0.15">
      <c r="A152" s="99" t="s">
        <v>48</v>
      </c>
      <c r="B152" s="99"/>
      <c r="C152" s="48"/>
      <c r="D152" s="92"/>
      <c r="E152" s="92"/>
      <c r="F152" s="92"/>
      <c r="G152" s="92"/>
      <c r="H152" s="92"/>
      <c r="I152" s="92"/>
      <c r="J152" s="92"/>
      <c r="K152" s="92"/>
      <c r="L152" s="89"/>
    </row>
    <row r="153" spans="1:12" s="43" customFormat="1" x14ac:dyDescent="0.15">
      <c r="A153" s="172" t="s">
        <v>315</v>
      </c>
      <c r="B153" s="48">
        <f>(((B151*1000)/100)/B110)*B107</f>
        <v>1.0045207642295133</v>
      </c>
      <c r="C153" s="48">
        <f>(((C151*1000)/100)/C110)*C107</f>
        <v>30.570694996689973</v>
      </c>
      <c r="D153" s="48">
        <f>(((D151*1000)/100)/D110)*D107</f>
        <v>100.76205340638913</v>
      </c>
      <c r="E153" s="48">
        <f>(((E151*1000)/100)/E110)*E107</f>
        <v>101.93705271954872</v>
      </c>
      <c r="F153" s="48">
        <f>(((F151*1000)/100)/F110)*F107</f>
        <v>104.81057653105671</v>
      </c>
      <c r="G153" s="48">
        <f t="shared" ref="G153:H153" si="58">(((G151*1000)/100)/G110)*G107</f>
        <v>107.21093785436895</v>
      </c>
      <c r="H153" s="48">
        <f t="shared" si="58"/>
        <v>109.59696029516583</v>
      </c>
      <c r="I153" s="48">
        <f>(((I151*1000)/100)/I110)*I107</f>
        <v>109.15553201325217</v>
      </c>
      <c r="J153" s="48">
        <f>(((J151*1000)/100)/J110)*J107</f>
        <v>127.48157239797602</v>
      </c>
      <c r="K153" s="48">
        <f>(((K151*1000)/100)/K110)*K107</f>
        <v>138.45467966480487</v>
      </c>
      <c r="L153" s="99" t="s">
        <v>101</v>
      </c>
    </row>
    <row r="154" spans="1:12" s="185" customFormat="1" x14ac:dyDescent="0.15">
      <c r="A154" s="197" t="s">
        <v>316</v>
      </c>
      <c r="B154" s="215">
        <f>B153</f>
        <v>1.0045207642295133</v>
      </c>
      <c r="C154" s="215">
        <f>B154+40*B153+(C153-B153)*40/2</f>
        <v>632.50883598261919</v>
      </c>
      <c r="D154" s="215">
        <f>C154+25*C153+(D153-C153)*25/2</f>
        <v>2274.1681910211082</v>
      </c>
      <c r="E154" s="215">
        <f t="shared" ref="E154:J154" si="59">D154+E153</f>
        <v>2376.105243740657</v>
      </c>
      <c r="F154" s="215">
        <f t="shared" si="59"/>
        <v>2480.9158202717135</v>
      </c>
      <c r="G154" s="215">
        <f t="shared" si="59"/>
        <v>2588.1267581260827</v>
      </c>
      <c r="H154" s="215">
        <f t="shared" si="59"/>
        <v>2697.7237184212486</v>
      </c>
      <c r="I154" s="215">
        <f t="shared" si="59"/>
        <v>2806.8792504345006</v>
      </c>
      <c r="J154" s="215">
        <f t="shared" si="59"/>
        <v>2934.3608228324765</v>
      </c>
      <c r="K154" s="215">
        <f>J154+4*J153+(K153-J153)*4/2</f>
        <v>3466.2333269580386</v>
      </c>
      <c r="L154" s="217"/>
    </row>
    <row r="155" spans="1:12" s="43" customFormat="1" x14ac:dyDescent="0.15">
      <c r="A155" s="43" t="s">
        <v>272</v>
      </c>
      <c r="B155" s="163">
        <f>(B58/1.258)*B107/B8</f>
        <v>4.3472088334144745</v>
      </c>
      <c r="C155" s="163">
        <f>(C58/1.258)*C109/C10</f>
        <v>7.0634292823512004</v>
      </c>
      <c r="D155" s="163">
        <f t="shared" ref="D155:K155" si="60">(D58/1.258)*D107/D8</f>
        <v>22.030995501369532</v>
      </c>
      <c r="E155" s="163">
        <f t="shared" si="60"/>
        <v>23.556781218496244</v>
      </c>
      <c r="F155" s="163">
        <f t="shared" si="60"/>
        <v>22.211324884196973</v>
      </c>
      <c r="G155" s="163">
        <f t="shared" si="60"/>
        <v>22.57159159056425</v>
      </c>
      <c r="H155" s="163">
        <f t="shared" si="60"/>
        <v>22.851370446825712</v>
      </c>
      <c r="I155" s="163">
        <f t="shared" si="60"/>
        <v>20.673939658794009</v>
      </c>
      <c r="J155" s="163">
        <f t="shared" si="60"/>
        <v>22.791130418021286</v>
      </c>
      <c r="K155" s="163">
        <f t="shared" si="60"/>
        <v>24.472963997300099</v>
      </c>
    </row>
    <row r="156" spans="1:12" s="185" customFormat="1" x14ac:dyDescent="0.15">
      <c r="A156" s="186" t="s">
        <v>317</v>
      </c>
      <c r="B156" s="192">
        <f>B155</f>
        <v>4.3472088334144745</v>
      </c>
      <c r="C156" s="198">
        <f>B156+40*B155+(C155-B155)*40/2</f>
        <v>232.55997114872795</v>
      </c>
      <c r="D156" s="216">
        <f>C156+25*C155+(D155-C155)*25/2</f>
        <v>596.24028094523715</v>
      </c>
      <c r="E156" s="216">
        <f>D156+E155</f>
        <v>619.79706216373336</v>
      </c>
      <c r="F156" s="216">
        <f t="shared" ref="F156:J156" si="61">E156+F155</f>
        <v>642.00838704793034</v>
      </c>
      <c r="G156" s="216">
        <f t="shared" si="61"/>
        <v>664.57997863849459</v>
      </c>
      <c r="H156" s="216">
        <f t="shared" si="61"/>
        <v>687.43134908532033</v>
      </c>
      <c r="I156" s="216">
        <f t="shared" si="61"/>
        <v>708.10528874411432</v>
      </c>
      <c r="J156" s="216">
        <f t="shared" si="61"/>
        <v>730.89641916213566</v>
      </c>
      <c r="K156" s="216">
        <f>J156+4*J155+(K155-J155)*4/2</f>
        <v>825.42460799277842</v>
      </c>
    </row>
    <row r="157" spans="1:12" x14ac:dyDescent="0.15">
      <c r="A157" s="97" t="s">
        <v>51</v>
      </c>
      <c r="B157" s="97"/>
      <c r="C157" s="33"/>
      <c r="D157" s="130">
        <v>76.39</v>
      </c>
      <c r="E157" s="2">
        <v>82.15</v>
      </c>
      <c r="F157" s="2">
        <v>82.09</v>
      </c>
      <c r="G157" s="2">
        <v>83.49</v>
      </c>
      <c r="H157" s="2">
        <v>87.31</v>
      </c>
      <c r="I157" s="2">
        <v>80.61</v>
      </c>
      <c r="J157" s="5">
        <f>I157*J107/I107</f>
        <v>87.011484678463518</v>
      </c>
      <c r="K157" s="5">
        <f>J157*K107/J107</f>
        <v>87.608493652686562</v>
      </c>
      <c r="L157" s="97" t="s">
        <v>49</v>
      </c>
    </row>
    <row r="158" spans="1:12" x14ac:dyDescent="0.15">
      <c r="A158" s="97" t="s">
        <v>52</v>
      </c>
      <c r="B158" s="33">
        <f t="shared" ref="B158:K158" si="62">B63*B107/B8</f>
        <v>4.6123757396272662</v>
      </c>
      <c r="C158" s="33">
        <f t="shared" si="62"/>
        <v>23.266244358038019</v>
      </c>
      <c r="D158" s="51">
        <f t="shared" si="62"/>
        <v>34.287841600889678</v>
      </c>
      <c r="E158" s="33">
        <f t="shared" si="62"/>
        <v>33.86751531092613</v>
      </c>
      <c r="F158" s="33">
        <f t="shared" si="62"/>
        <v>33.938639169065191</v>
      </c>
      <c r="G158" s="33">
        <f t="shared" si="62"/>
        <v>33.471121637993697</v>
      </c>
      <c r="H158" s="33">
        <f t="shared" si="62"/>
        <v>33.621898546347317</v>
      </c>
      <c r="I158" s="33">
        <f t="shared" si="62"/>
        <v>34.480608279357561</v>
      </c>
      <c r="J158" s="33">
        <f t="shared" si="62"/>
        <v>35.600156766360513</v>
      </c>
      <c r="K158" s="33">
        <f t="shared" si="62"/>
        <v>32.42058687177618</v>
      </c>
      <c r="L158" s="97" t="s">
        <v>50</v>
      </c>
    </row>
    <row r="159" spans="1:12" s="43" customFormat="1" x14ac:dyDescent="0.15">
      <c r="A159" s="99" t="s">
        <v>53</v>
      </c>
      <c r="B159" s="177">
        <f>B315*B107/B8</f>
        <v>0.38064599719376696</v>
      </c>
      <c r="C159" s="51">
        <f>B316*C107/C8</f>
        <v>8.6896221727845759</v>
      </c>
      <c r="D159" s="51">
        <f>B318*D107/D8</f>
        <v>10.529121254067473</v>
      </c>
      <c r="E159" s="51">
        <f>B319*E107/E8</f>
        <v>10.490387680896937</v>
      </c>
      <c r="F159" s="51">
        <f>B320*F107/F8</f>
        <v>10.546104767863847</v>
      </c>
      <c r="G159" s="51">
        <f>B321*G107/G8</f>
        <v>10.566031516032632</v>
      </c>
      <c r="H159" s="51">
        <f>B322*H107/H8</f>
        <v>10.651882752322468</v>
      </c>
      <c r="I159" s="51">
        <f>B324*I107/I8</f>
        <v>11.092103720136519</v>
      </c>
      <c r="J159" s="51">
        <f>B325*J107/J8</f>
        <v>11.480014223654926</v>
      </c>
      <c r="K159" s="51">
        <f>B326*K107/K8</f>
        <v>10.866853704478229</v>
      </c>
      <c r="L159" s="99" t="s">
        <v>50</v>
      </c>
    </row>
    <row r="160" spans="1:12" s="43" customFormat="1" x14ac:dyDescent="0.15">
      <c r="A160" s="99" t="s">
        <v>2</v>
      </c>
      <c r="B160" s="177">
        <f>(B158+(B159/0.917))*E349*(B107/C107)</f>
        <v>3.263485713318147</v>
      </c>
      <c r="C160" s="54">
        <f>(C158+(C159/0.917))*E349</f>
        <v>107.2120826750848</v>
      </c>
      <c r="D160" s="54">
        <f>(D158+(D159/0.917))*E345</f>
        <v>313.36791808668232</v>
      </c>
      <c r="E160" s="54">
        <f>(E158+(E159/0.917))*F345</f>
        <v>317.86680879432112</v>
      </c>
      <c r="F160" s="54">
        <f>(F158+(F159/0.917))*G345</f>
        <v>328.26823070530133</v>
      </c>
      <c r="G160" s="54">
        <f>(G158+(G159/0.917))*H345</f>
        <v>338.50285403049691</v>
      </c>
      <c r="H160" s="54">
        <f>(H158+(H159/0.917))*I345</f>
        <v>345.32563779090447</v>
      </c>
      <c r="I160" s="54">
        <f>(I158+(I159/0.917))*F349</f>
        <v>347.94288661970512</v>
      </c>
      <c r="J160" s="54">
        <f>(J158+(J159/0.917))*G349</f>
        <v>380.58568786502235</v>
      </c>
      <c r="K160" s="54">
        <f>(K158+(K159/0.917))*H349</f>
        <v>394.69385950191537</v>
      </c>
    </row>
    <row r="161" spans="1:12" s="185" customFormat="1" x14ac:dyDescent="0.15">
      <c r="A161" s="186" t="s">
        <v>371</v>
      </c>
      <c r="B161" s="192">
        <f>B160</f>
        <v>3.263485713318147</v>
      </c>
      <c r="C161" s="218">
        <f>B161+40*B160+(C160-B160)*40/2</f>
        <v>2212.7748534813772</v>
      </c>
      <c r="D161" s="218">
        <f>C161+25*C160+(D160-B160)*25/2</f>
        <v>8769.3823250255482</v>
      </c>
      <c r="E161" s="218">
        <f t="shared" ref="E161:J161" si="63">D161+E160</f>
        <v>9087.2491338198688</v>
      </c>
      <c r="F161" s="218">
        <f t="shared" si="63"/>
        <v>9415.5173645251707</v>
      </c>
      <c r="G161" s="218">
        <f t="shared" si="63"/>
        <v>9754.0202185556682</v>
      </c>
      <c r="H161" s="218">
        <f t="shared" si="63"/>
        <v>10099.345856346572</v>
      </c>
      <c r="I161" s="218">
        <f t="shared" si="63"/>
        <v>10447.288742966277</v>
      </c>
      <c r="J161" s="218">
        <f t="shared" si="63"/>
        <v>10827.8744308313</v>
      </c>
      <c r="K161" s="218">
        <f>J161+4*J160+(K160-J160)*4/2</f>
        <v>12378.433525565175</v>
      </c>
    </row>
    <row r="162" spans="1:12" x14ac:dyDescent="0.15">
      <c r="B162"/>
      <c r="C162" s="2"/>
      <c r="D162" s="43"/>
    </row>
    <row r="163" spans="1:12" s="185" customFormat="1" x14ac:dyDescent="0.15">
      <c r="A163" s="262" t="s">
        <v>383</v>
      </c>
      <c r="B163" s="192">
        <f>B146+B148+B150+B154+B156+B161</f>
        <v>8.7761036558911965</v>
      </c>
      <c r="C163" s="192">
        <f>C146+C148+C150+C154+C156+C161</f>
        <v>3115.0602754261699</v>
      </c>
      <c r="D163" s="192">
        <f>D146+D148+D150+D154+D156+D161</f>
        <v>11737.270550058383</v>
      </c>
      <c r="E163" s="192">
        <f t="shared" ref="E163:H163" si="64">E146+E148+E150+E154+E156+E161</f>
        <v>12184.856940609305</v>
      </c>
      <c r="F163" s="192">
        <f t="shared" si="64"/>
        <v>12644.400888171354</v>
      </c>
      <c r="G163" s="192">
        <f t="shared" si="64"/>
        <v>13117.301455718272</v>
      </c>
      <c r="H163" s="192">
        <f t="shared" si="64"/>
        <v>13600.291171881276</v>
      </c>
      <c r="I163" s="192">
        <f>I146+I148+I150+I154+I156+I161</f>
        <v>14083.64256760293</v>
      </c>
      <c r="J163" s="192">
        <f>J146+J148+J150+J154+J156+J161</f>
        <v>14622.35390770007</v>
      </c>
      <c r="K163" s="192">
        <f>K146+K148+K150+K154+K156+K161</f>
        <v>16812.08653043352</v>
      </c>
      <c r="L163" s="211"/>
    </row>
    <row r="164" spans="1:12" s="43" customFormat="1" x14ac:dyDescent="0.15">
      <c r="A164" s="240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89"/>
    </row>
    <row r="165" spans="1:12" s="43" customFormat="1" x14ac:dyDescent="0.15">
      <c r="A165" s="230" t="s">
        <v>366</v>
      </c>
      <c r="B165" s="179">
        <f>B109-(B123*0.4*1000/60)-B144</f>
        <v>108.46610152383823</v>
      </c>
      <c r="C165" s="179">
        <f t="shared" ref="C165:K165" si="65">C109-(C123*0.4*1000/60)-C144</f>
        <v>396.0820473978826</v>
      </c>
      <c r="D165" s="179">
        <f t="shared" si="65"/>
        <v>435.45322754012864</v>
      </c>
      <c r="E165" s="179">
        <f>E109-(E123*0.4*1000/60)-E144</f>
        <v>404.350555260291</v>
      </c>
      <c r="F165" s="179">
        <f t="shared" si="65"/>
        <v>427.05200571748611</v>
      </c>
      <c r="G165" s="179">
        <f>G109-(G123*0.4*1000/60)-G144</f>
        <v>400.93706381165606</v>
      </c>
      <c r="H165" s="179">
        <f t="shared" si="65"/>
        <v>380.18979881163978</v>
      </c>
      <c r="I165" s="179">
        <f t="shared" si="65"/>
        <v>316.45870243596625</v>
      </c>
      <c r="J165" s="179">
        <f>J109-(J123*0.4*1000/60)-J144</f>
        <v>350.20802621693554</v>
      </c>
      <c r="K165" s="179">
        <f t="shared" si="65"/>
        <v>320.42813135599181</v>
      </c>
      <c r="L165" s="89"/>
    </row>
    <row r="166" spans="1:12" s="43" customFormat="1" x14ac:dyDescent="0.15">
      <c r="A166" s="230" t="s">
        <v>379</v>
      </c>
      <c r="B166" s="179">
        <f t="shared" ref="B166:C166" si="66">B165*60*(2181/2332)*((B107/2332)/1000)</f>
        <v>0.76577990257906603</v>
      </c>
      <c r="C166" s="179">
        <f t="shared" si="66"/>
        <v>14.105766726284285</v>
      </c>
      <c r="D166" s="179">
        <f>D165*60*(2181/2332)*((D107/2332)/1000)</f>
        <v>22.854246928069934</v>
      </c>
      <c r="E166" s="179">
        <f>E165*60*(2181/2332)*((E107/2332)/1000)</f>
        <v>21.386295126437044</v>
      </c>
      <c r="F166" s="179">
        <f t="shared" ref="F166:K166" si="67">F165*60*(2181/2332)*((F107/2332)/1000)</f>
        <v>23.100793430445609</v>
      </c>
      <c r="G166" s="179">
        <f>G165*60*(2181/2332)*((G107/2332)/1000)</f>
        <v>22.093346899686491</v>
      </c>
      <c r="H166" s="179">
        <f t="shared" si="67"/>
        <v>21.334321214618861</v>
      </c>
      <c r="I166" s="179">
        <f t="shared" si="67"/>
        <v>17.643831460488823</v>
      </c>
      <c r="J166" s="179">
        <f t="shared" si="67"/>
        <v>21.07606895177198</v>
      </c>
      <c r="K166" s="179">
        <f t="shared" si="67"/>
        <v>19.416179871385719</v>
      </c>
      <c r="L166" s="89"/>
    </row>
    <row r="167" spans="1:12" s="185" customFormat="1" x14ac:dyDescent="0.15">
      <c r="A167" s="263" t="s">
        <v>384</v>
      </c>
      <c r="B167" s="192">
        <f>B166</f>
        <v>0.76577990257906603</v>
      </c>
      <c r="C167" s="192">
        <f>B167+40*B166+(C166-B166)*40/2</f>
        <v>298.1967124798461</v>
      </c>
      <c r="D167" s="192">
        <f>C167+25*C166+(D166-C166)*25/2</f>
        <v>760.19688315927385</v>
      </c>
      <c r="E167" s="192">
        <f>D167+E166</f>
        <v>781.58317828571091</v>
      </c>
      <c r="F167" s="192">
        <f t="shared" ref="F167:H167" si="68">E167+F166</f>
        <v>804.68397171615652</v>
      </c>
      <c r="G167" s="192">
        <f t="shared" si="68"/>
        <v>826.777318615843</v>
      </c>
      <c r="H167" s="192">
        <f t="shared" si="68"/>
        <v>848.11163983046185</v>
      </c>
      <c r="I167" s="192">
        <f t="shared" ref="I167" si="69">H167+I166</f>
        <v>865.75547129095071</v>
      </c>
      <c r="J167" s="192">
        <f t="shared" ref="J167:K167" si="70">I167+J166</f>
        <v>886.83154024272267</v>
      </c>
      <c r="K167" s="192">
        <f t="shared" si="70"/>
        <v>906.24772011410835</v>
      </c>
      <c r="L167" s="211"/>
    </row>
    <row r="168" spans="1:12" x14ac:dyDescent="0.15">
      <c r="B168"/>
      <c r="C168" s="30"/>
      <c r="D168" s="92"/>
      <c r="E168" s="23"/>
      <c r="F168" s="23"/>
      <c r="G168" s="23"/>
      <c r="H168" s="23"/>
      <c r="I168" s="23"/>
      <c r="J168" s="23"/>
      <c r="K168" s="23"/>
      <c r="L168" s="13"/>
    </row>
    <row r="169" spans="1:12" x14ac:dyDescent="0.15">
      <c r="A169" s="27" t="s">
        <v>4</v>
      </c>
      <c r="B169" s="27"/>
      <c r="C169" s="30"/>
      <c r="D169" s="92"/>
      <c r="E169" s="23"/>
      <c r="F169" s="23"/>
      <c r="G169" s="23"/>
      <c r="H169" s="23"/>
      <c r="I169" s="23"/>
      <c r="K169" s="24"/>
      <c r="L169" s="13"/>
    </row>
    <row r="170" spans="1:12" s="185" customFormat="1" x14ac:dyDescent="0.15">
      <c r="A170" s="262" t="s">
        <v>382</v>
      </c>
      <c r="B170" s="198">
        <f t="shared" ref="B170:K170" si="71">(B163*(2/(2-B75)))</f>
        <v>9.2380038483065228</v>
      </c>
      <c r="C170" s="198">
        <f>(C163*(2/(2-C75)))</f>
        <v>4934.7489511701697</v>
      </c>
      <c r="D170" s="198">
        <f>(D163*(2/(2-D75)))</f>
        <v>25515.805543605184</v>
      </c>
      <c r="E170" s="198">
        <f>(E163*(2/(2-E75)))</f>
        <v>26779.905363976497</v>
      </c>
      <c r="F170" s="198">
        <f>(F163*(2/(2-F75)))</f>
        <v>28098.668640380787</v>
      </c>
      <c r="G170" s="198">
        <f t="shared" si="71"/>
        <v>29812.048762996077</v>
      </c>
      <c r="H170" s="198">
        <f t="shared" si="71"/>
        <v>31265.037176738562</v>
      </c>
      <c r="I170" s="198">
        <f t="shared" si="71"/>
        <v>32752.6571339603</v>
      </c>
      <c r="J170" s="198">
        <f t="shared" si="71"/>
        <v>34815.128351666834</v>
      </c>
      <c r="K170" s="198">
        <f t="shared" si="71"/>
        <v>40511.051880562693</v>
      </c>
    </row>
    <row r="171" spans="1:12" s="43" customFormat="1" x14ac:dyDescent="0.15">
      <c r="A171" s="152" t="s">
        <v>275</v>
      </c>
      <c r="B171" s="163">
        <f>C171*B170/C170</f>
        <v>0.43606423721505522</v>
      </c>
      <c r="C171" s="130">
        <f>D171*C170/D170</f>
        <v>232.93641922808749</v>
      </c>
      <c r="D171" s="130">
        <f>(E170-D170)*D170/E170</f>
        <v>1204.4301414032802</v>
      </c>
      <c r="E171" s="46">
        <f>E170-D170</f>
        <v>1264.0998203713134</v>
      </c>
      <c r="F171" s="46">
        <f t="shared" ref="F171:G171" si="72">F170-E170</f>
        <v>1318.7632764042901</v>
      </c>
      <c r="G171" s="46">
        <f t="shared" si="72"/>
        <v>1713.38012261529</v>
      </c>
      <c r="H171" s="46">
        <f>H170-G170</f>
        <v>1452.9884137424851</v>
      </c>
      <c r="I171" s="46">
        <f>I170-H170</f>
        <v>1487.6199572217374</v>
      </c>
      <c r="J171" s="46">
        <f t="shared" ref="J171" si="73">J170-I170</f>
        <v>2062.4712177065339</v>
      </c>
      <c r="K171" s="46">
        <f>((K170-J170)/4)*(K170/J170)</f>
        <v>1656.9510476597914</v>
      </c>
    </row>
    <row r="172" spans="1:12" s="43" customFormat="1" x14ac:dyDescent="0.15">
      <c r="A172" s="99"/>
      <c r="B172" s="99"/>
      <c r="C172" s="51"/>
      <c r="D172" s="143"/>
      <c r="E172" s="53"/>
      <c r="F172" s="53"/>
      <c r="G172" s="53"/>
      <c r="H172" s="53"/>
      <c r="I172" s="53"/>
      <c r="J172" s="53"/>
      <c r="K172" s="53"/>
    </row>
    <row r="173" spans="1:12" s="185" customFormat="1" x14ac:dyDescent="0.15">
      <c r="A173" s="264" t="s">
        <v>385</v>
      </c>
      <c r="B173" s="219">
        <f>B141+B163+B167+B170</f>
        <v>22.644463409392259</v>
      </c>
      <c r="C173" s="219">
        <f t="shared" ref="C173:J173" si="74">C141+C163+C167+C170</f>
        <v>8711.4049025221284</v>
      </c>
      <c r="D173" s="219">
        <f t="shared" si="74"/>
        <v>38824.157636571632</v>
      </c>
      <c r="E173" s="219">
        <f t="shared" si="74"/>
        <v>40579.232461995198</v>
      </c>
      <c r="F173" s="219">
        <f t="shared" si="74"/>
        <v>42402.958405807083</v>
      </c>
      <c r="G173" s="219">
        <f>G141+G163+G167+G170</f>
        <v>44634.191409924446</v>
      </c>
      <c r="H173" s="219">
        <f t="shared" si="74"/>
        <v>46614.54317498015</v>
      </c>
      <c r="I173" s="219">
        <f>I141+I163+I167+I170</f>
        <v>48626.869465448079</v>
      </c>
      <c r="J173" s="219">
        <f t="shared" si="74"/>
        <v>51272.167406139117</v>
      </c>
      <c r="K173" s="219">
        <f>K141+K163+K167+K170</f>
        <v>59279.857112429265</v>
      </c>
    </row>
    <row r="174" spans="1:12" x14ac:dyDescent="0.15">
      <c r="A174" s="107"/>
      <c r="B174" s="107"/>
      <c r="C174" s="33"/>
      <c r="D174" s="143"/>
      <c r="E174" s="5"/>
      <c r="F174" s="5"/>
      <c r="G174" s="5"/>
      <c r="H174" s="5"/>
      <c r="I174" s="5"/>
      <c r="J174" s="5"/>
      <c r="K174" s="5"/>
    </row>
    <row r="175" spans="1:12" x14ac:dyDescent="0.15">
      <c r="A175" s="107"/>
      <c r="B175" s="107"/>
      <c r="C175" s="33"/>
      <c r="D175" s="143"/>
      <c r="E175" s="5"/>
      <c r="F175" s="5"/>
      <c r="G175" s="5"/>
      <c r="H175" s="5"/>
      <c r="I175" s="5"/>
      <c r="J175" s="5"/>
      <c r="K175" s="5"/>
    </row>
    <row r="176" spans="1:12" x14ac:dyDescent="0.15">
      <c r="A176" s="110" t="s">
        <v>60</v>
      </c>
      <c r="B176" s="110"/>
      <c r="C176" s="33"/>
      <c r="D176" s="143"/>
      <c r="E176" s="5"/>
      <c r="F176" s="5"/>
      <c r="G176" s="5"/>
      <c r="H176" s="5"/>
      <c r="I176" s="5"/>
      <c r="J176" s="5"/>
      <c r="K176" s="5"/>
    </row>
    <row r="177" spans="1:14" x14ac:dyDescent="0.15">
      <c r="A177" s="107"/>
      <c r="B177" s="107"/>
      <c r="C177" s="33"/>
      <c r="D177" s="143"/>
      <c r="E177" s="5"/>
      <c r="F177" s="5"/>
      <c r="G177" s="5"/>
      <c r="H177" s="5"/>
      <c r="I177" s="5"/>
      <c r="J177" s="5"/>
      <c r="K177" s="5"/>
    </row>
    <row r="178" spans="1:14" s="103" customFormat="1" x14ac:dyDescent="0.15">
      <c r="A178" s="172" t="s">
        <v>326</v>
      </c>
      <c r="B178" s="104">
        <f>(0.8+1.6)/2</f>
        <v>1.2000000000000002</v>
      </c>
      <c r="C178" s="104">
        <f>76.4-66.3</f>
        <v>10.100000000000009</v>
      </c>
      <c r="D178" s="105">
        <f>81.5-66.3</f>
        <v>15.200000000000003</v>
      </c>
      <c r="E178" s="105">
        <f>81.7-66.3</f>
        <v>15.400000000000006</v>
      </c>
      <c r="F178" s="105">
        <f>81.8-66.3</f>
        <v>15.5</v>
      </c>
      <c r="G178" s="105">
        <f>81.9-66.3</f>
        <v>15.600000000000009</v>
      </c>
      <c r="H178" s="105">
        <f>82-66.3</f>
        <v>15.700000000000003</v>
      </c>
      <c r="I178" s="105">
        <f>81.5-66.3</f>
        <v>15.200000000000003</v>
      </c>
      <c r="J178" s="105">
        <f>81.8-66.3</f>
        <v>15.5</v>
      </c>
      <c r="K178" s="105">
        <f>82.6-66.3</f>
        <v>16.299999999999997</v>
      </c>
      <c r="L178" s="103" t="s">
        <v>320</v>
      </c>
      <c r="M178" s="103">
        <f>(63.4+69.2)/2</f>
        <v>66.3</v>
      </c>
      <c r="N178" s="299" t="s">
        <v>399</v>
      </c>
    </row>
    <row r="179" spans="1:14" s="185" customFormat="1" x14ac:dyDescent="0.15">
      <c r="A179" s="220" t="s">
        <v>28</v>
      </c>
      <c r="B179" s="221">
        <v>2.36</v>
      </c>
      <c r="C179" s="189">
        <v>3698</v>
      </c>
      <c r="D179" s="184">
        <v>10848</v>
      </c>
      <c r="E179" s="184">
        <v>11206</v>
      </c>
      <c r="F179" s="184">
        <v>11422</v>
      </c>
      <c r="G179" s="184">
        <v>11835</v>
      </c>
      <c r="H179" s="184">
        <v>12267</v>
      </c>
      <c r="I179" s="184">
        <v>12067</v>
      </c>
      <c r="J179" s="184">
        <v>11406</v>
      </c>
      <c r="K179" s="182">
        <v>13073</v>
      </c>
    </row>
    <row r="180" spans="1:14" x14ac:dyDescent="0.15">
      <c r="A180" s="27"/>
      <c r="B180" s="27"/>
      <c r="C180" s="2">
        <v>3698</v>
      </c>
      <c r="D180" s="131"/>
      <c r="E180" s="4"/>
      <c r="F180" s="4"/>
      <c r="G180" s="4"/>
      <c r="H180" s="4"/>
      <c r="I180" s="4"/>
      <c r="J180" s="4"/>
      <c r="K180" s="4"/>
      <c r="L180" s="27"/>
    </row>
    <row r="181" spans="1:14" x14ac:dyDescent="0.15">
      <c r="A181" s="228" t="s">
        <v>340</v>
      </c>
      <c r="B181" s="232">
        <v>135</v>
      </c>
      <c r="C181" s="106">
        <v>253</v>
      </c>
      <c r="D181" s="143">
        <v>465</v>
      </c>
      <c r="E181" s="106">
        <v>495</v>
      </c>
      <c r="F181" s="106">
        <v>518</v>
      </c>
      <c r="G181" s="106">
        <v>524</v>
      </c>
      <c r="H181" s="106">
        <v>609</v>
      </c>
      <c r="I181" s="106">
        <v>542</v>
      </c>
      <c r="J181" s="106">
        <v>584</v>
      </c>
      <c r="K181" s="106">
        <v>749</v>
      </c>
      <c r="L181" s="27"/>
    </row>
    <row r="182" spans="1:14" s="185" customFormat="1" x14ac:dyDescent="0.15">
      <c r="A182" s="209" t="s">
        <v>75</v>
      </c>
      <c r="B182" s="204">
        <v>579</v>
      </c>
      <c r="C182" s="184">
        <v>1644</v>
      </c>
      <c r="D182" s="184">
        <v>4515</v>
      </c>
      <c r="E182" s="184">
        <v>4810</v>
      </c>
      <c r="F182" s="184">
        <v>5097</v>
      </c>
      <c r="G182" s="184">
        <v>5358</v>
      </c>
      <c r="H182" s="184">
        <v>5667</v>
      </c>
      <c r="I182" s="184">
        <v>5868</v>
      </c>
      <c r="J182" s="184">
        <v>6086</v>
      </c>
      <c r="K182" s="184">
        <v>7192</v>
      </c>
      <c r="L182" s="200"/>
    </row>
    <row r="183" spans="1:14" x14ac:dyDescent="0.15">
      <c r="A183" s="27"/>
      <c r="B183" s="27"/>
      <c r="C183" s="2"/>
      <c r="D183" s="131"/>
      <c r="E183" s="4"/>
      <c r="F183" s="4"/>
      <c r="G183" s="4"/>
      <c r="H183" s="4"/>
      <c r="I183" s="4"/>
      <c r="J183" s="4"/>
      <c r="K183" s="4"/>
      <c r="L183" s="27"/>
    </row>
    <row r="184" spans="1:14" s="185" customFormat="1" x14ac:dyDescent="0.15">
      <c r="A184" s="266" t="s">
        <v>376</v>
      </c>
      <c r="B184" s="187">
        <f>B179+B182</f>
        <v>581.36</v>
      </c>
      <c r="C184" s="184">
        <f>C179+C182</f>
        <v>5342</v>
      </c>
      <c r="D184" s="184">
        <f>D179+D182</f>
        <v>15363</v>
      </c>
      <c r="E184" s="184">
        <f t="shared" ref="E184:J184" si="75">E179+E182</f>
        <v>16016</v>
      </c>
      <c r="F184" s="184">
        <f t="shared" si="75"/>
        <v>16519</v>
      </c>
      <c r="G184" s="184">
        <f t="shared" si="75"/>
        <v>17193</v>
      </c>
      <c r="H184" s="184">
        <f t="shared" si="75"/>
        <v>17934</v>
      </c>
      <c r="I184" s="184">
        <f t="shared" si="75"/>
        <v>17935</v>
      </c>
      <c r="J184" s="184">
        <f t="shared" si="75"/>
        <v>17492</v>
      </c>
      <c r="K184" s="184">
        <f>K179+K182</f>
        <v>20265</v>
      </c>
      <c r="L184" s="200"/>
    </row>
    <row r="185" spans="1:14" s="43" customFormat="1" x14ac:dyDescent="0.15">
      <c r="A185" s="98"/>
      <c r="B185" s="98"/>
      <c r="C185" s="108"/>
      <c r="D185" s="143"/>
      <c r="E185" s="108"/>
      <c r="F185" s="108"/>
      <c r="G185" s="108"/>
      <c r="H185" s="108"/>
      <c r="I185" s="108"/>
      <c r="J185" s="108"/>
      <c r="K185" s="108"/>
      <c r="L185" s="45"/>
    </row>
    <row r="187" spans="1:14" s="43" customFormat="1" ht="18" x14ac:dyDescent="0.2">
      <c r="A187" s="112" t="s">
        <v>381</v>
      </c>
      <c r="B187" s="50">
        <v>1950</v>
      </c>
      <c r="C187" s="42">
        <v>1990</v>
      </c>
      <c r="D187" s="44">
        <v>2015</v>
      </c>
      <c r="E187" s="44">
        <v>2016</v>
      </c>
      <c r="F187" s="44">
        <v>2017</v>
      </c>
      <c r="G187" s="44">
        <v>2018</v>
      </c>
      <c r="H187" s="44">
        <v>2019</v>
      </c>
      <c r="I187" s="44">
        <v>2020</v>
      </c>
      <c r="J187" s="44">
        <v>2021</v>
      </c>
      <c r="K187" s="44">
        <v>2025</v>
      </c>
      <c r="L187" s="45"/>
    </row>
    <row r="188" spans="1:14" s="43" customFormat="1" x14ac:dyDescent="0.15">
      <c r="A188" s="45"/>
      <c r="L188" s="45"/>
    </row>
    <row r="189" spans="1:14" s="257" customFormat="1" x14ac:dyDescent="0.15">
      <c r="A189" s="246" t="s">
        <v>6</v>
      </c>
      <c r="B189" s="255">
        <f>(B107-(C181*B203/C203))+(B184-B173)</f>
        <v>848.05785899497926</v>
      </c>
      <c r="C189" s="256">
        <f t="shared" ref="C189:K189" si="76">(C107-C181)+(C184-C173)</f>
        <v>-2142.4049025221284</v>
      </c>
      <c r="D189" s="256">
        <f t="shared" si="76"/>
        <v>-21745.057636571633</v>
      </c>
      <c r="E189" s="256">
        <f t="shared" si="76"/>
        <v>-22860.232461995198</v>
      </c>
      <c r="F189" s="256">
        <f t="shared" si="76"/>
        <v>-24153.958405807083</v>
      </c>
      <c r="G189" s="256">
        <f t="shared" si="76"/>
        <v>-25675.191409924446</v>
      </c>
      <c r="H189" s="256">
        <f t="shared" si="76"/>
        <v>-26957.54317498015</v>
      </c>
      <c r="I189" s="256">
        <f t="shared" si="76"/>
        <v>-28916.869465448079</v>
      </c>
      <c r="J189" s="256">
        <f t="shared" si="76"/>
        <v>-31863.167406139117</v>
      </c>
      <c r="K189" s="256">
        <f t="shared" si="76"/>
        <v>-37245.697085220796</v>
      </c>
    </row>
    <row r="190" spans="1:14" s="249" customFormat="1" x14ac:dyDescent="0.15">
      <c r="A190" s="251" t="s">
        <v>386</v>
      </c>
      <c r="B190" s="252">
        <f t="shared" ref="B190:K190" si="77">B184-B173</f>
        <v>558.71553659060771</v>
      </c>
      <c r="C190" s="252">
        <f t="shared" si="77"/>
        <v>-3369.4049025221284</v>
      </c>
      <c r="D190" s="252">
        <f t="shared" si="77"/>
        <v>-23461.157636571632</v>
      </c>
      <c r="E190" s="252">
        <f t="shared" si="77"/>
        <v>-24563.232461995198</v>
      </c>
      <c r="F190" s="252">
        <f t="shared" si="77"/>
        <v>-25883.958405807083</v>
      </c>
      <c r="G190" s="252">
        <f t="shared" si="77"/>
        <v>-27441.191409924446</v>
      </c>
      <c r="H190" s="252">
        <f t="shared" si="77"/>
        <v>-28680.54317498015</v>
      </c>
      <c r="I190" s="252">
        <f t="shared" si="77"/>
        <v>-30691.869465448079</v>
      </c>
      <c r="J190" s="252">
        <f t="shared" si="77"/>
        <v>-33780.167406139117</v>
      </c>
      <c r="K190" s="252">
        <f t="shared" si="77"/>
        <v>-39014.857112429265</v>
      </c>
      <c r="L190" s="258"/>
    </row>
    <row r="191" spans="1:14" s="43" customFormat="1" x14ac:dyDescent="0.15">
      <c r="A191" s="240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45"/>
    </row>
    <row r="192" spans="1:14" s="249" customFormat="1" x14ac:dyDescent="0.15">
      <c r="A192" s="251" t="s">
        <v>334</v>
      </c>
      <c r="B192" s="267">
        <f>B190*1000000000/(B105*1000)</f>
        <v>13340.867635878883</v>
      </c>
      <c r="C192" s="267">
        <f>C190*1000000000/(C105*1000)</f>
        <v>-58097.194677600666</v>
      </c>
      <c r="D192" s="267">
        <f t="shared" ref="D192:G192" si="78">D190*1000000000/(D105*1000)</f>
        <v>-353213.6586759151</v>
      </c>
      <c r="E192" s="267">
        <f t="shared" si="78"/>
        <v>-368806.22897203086</v>
      </c>
      <c r="F192" s="267">
        <f t="shared" si="78"/>
        <v>-387635.28328102379</v>
      </c>
      <c r="G192" s="267">
        <f t="shared" si="78"/>
        <v>-409618.93076672504</v>
      </c>
      <c r="H192" s="267">
        <f>H190*1000000000/(H105*1000)</f>
        <v>-426425.75121145661</v>
      </c>
      <c r="I192" s="267">
        <f>I190*1000000000/(I105*1000)</f>
        <v>-455004.43955062825</v>
      </c>
      <c r="J192" s="267">
        <f t="shared" ref="J192:K192" si="79">J190*1000000000/(J105*1000)</f>
        <v>-499514.49747344392</v>
      </c>
      <c r="K192" s="267">
        <f t="shared" si="79"/>
        <v>-572989.53021632053</v>
      </c>
    </row>
    <row r="193" spans="1:22" s="249" customFormat="1" x14ac:dyDescent="0.15">
      <c r="A193" s="259" t="s">
        <v>232</v>
      </c>
      <c r="B193" s="252">
        <f>1000000*B189/B105</f>
        <v>20249.710100166649</v>
      </c>
      <c r="C193" s="252">
        <f t="shared" ref="C193:K193" si="80">1000000*C189/C105</f>
        <v>-36940.563185773644</v>
      </c>
      <c r="D193" s="252">
        <f t="shared" si="80"/>
        <v>-327377.3393841142</v>
      </c>
      <c r="E193" s="252">
        <f t="shared" si="80"/>
        <v>-343236.42626340344</v>
      </c>
      <c r="F193" s="252">
        <f t="shared" si="80"/>
        <v>-361726.99562415137</v>
      </c>
      <c r="G193" s="252">
        <f t="shared" si="80"/>
        <v>-383257.57418683491</v>
      </c>
      <c r="H193" s="252">
        <f t="shared" si="80"/>
        <v>-400807.98083469842</v>
      </c>
      <c r="I193" s="252">
        <f t="shared" si="80"/>
        <v>-428690.21059459896</v>
      </c>
      <c r="J193" s="252">
        <f t="shared" si="80"/>
        <v>-471167.41203293286</v>
      </c>
      <c r="K193" s="252">
        <f t="shared" si="80"/>
        <v>-547006.85982113075</v>
      </c>
      <c r="T193" s="250"/>
      <c r="U193" s="250"/>
      <c r="V193" s="250"/>
    </row>
    <row r="194" spans="1:22" s="249" customFormat="1" x14ac:dyDescent="0.15">
      <c r="A194" s="259" t="s">
        <v>390</v>
      </c>
      <c r="B194" s="268">
        <f>1000*B189/B111</f>
        <v>29226.502187060269</v>
      </c>
      <c r="C194" s="268">
        <f>1000*C189/C111</f>
        <v>-53316.489243535711</v>
      </c>
      <c r="D194" s="268">
        <f t="shared" ref="D194:K194" si="81">1000*D189/D111</f>
        <v>-472505.2594913466</v>
      </c>
      <c r="E194" s="268">
        <f t="shared" si="81"/>
        <v>-495394.75445545046</v>
      </c>
      <c r="F194" s="268">
        <f t="shared" si="81"/>
        <v>-522082.28050835134</v>
      </c>
      <c r="G194" s="268">
        <f t="shared" si="81"/>
        <v>-553157.46619438077</v>
      </c>
      <c r="H194" s="268">
        <f t="shared" si="81"/>
        <v>-578488.05096523918</v>
      </c>
      <c r="I194" s="268">
        <f t="shared" si="81"/>
        <v>-618730.60481054801</v>
      </c>
      <c r="J194" s="268">
        <f t="shared" si="81"/>
        <v>-680038.15018263937</v>
      </c>
      <c r="K194" s="268">
        <f t="shared" si="81"/>
        <v>-789497.58321565704</v>
      </c>
    </row>
    <row r="195" spans="1:22" x14ac:dyDescent="0.15">
      <c r="B195"/>
      <c r="C195" s="2"/>
      <c r="D195" s="43"/>
    </row>
    <row r="196" spans="1:22" ht="18" x14ac:dyDescent="0.2">
      <c r="A196" s="36" t="s">
        <v>389</v>
      </c>
      <c r="B196"/>
      <c r="C196" s="2"/>
      <c r="D196" s="43"/>
    </row>
    <row r="197" spans="1:22" x14ac:dyDescent="0.15">
      <c r="B197"/>
      <c r="C197" s="2"/>
      <c r="D197" s="43"/>
    </row>
    <row r="198" spans="1:22" x14ac:dyDescent="0.15">
      <c r="A198" s="270" t="s">
        <v>15</v>
      </c>
      <c r="B198"/>
      <c r="C198" s="2"/>
      <c r="D198" s="43"/>
    </row>
    <row r="199" spans="1:22" x14ac:dyDescent="0.15">
      <c r="B199" s="222">
        <v>1950</v>
      </c>
      <c r="C199" s="2">
        <v>1990</v>
      </c>
      <c r="D199" s="44">
        <v>2015</v>
      </c>
      <c r="E199" s="2">
        <v>2016</v>
      </c>
      <c r="F199" s="2">
        <v>2017</v>
      </c>
      <c r="G199" s="2">
        <v>2018</v>
      </c>
      <c r="H199" s="2">
        <v>2019</v>
      </c>
      <c r="I199" s="2">
        <v>2020</v>
      </c>
      <c r="J199" s="2">
        <v>2021</v>
      </c>
      <c r="K199" s="2">
        <v>2025</v>
      </c>
    </row>
    <row r="200" spans="1:22" s="277" customFormat="1" x14ac:dyDescent="0.15">
      <c r="A200" s="297" t="s">
        <v>336</v>
      </c>
      <c r="B200" s="298">
        <f>1087-(1183-1087)*18/7</f>
        <v>840.14285714285711</v>
      </c>
      <c r="C200" s="275">
        <v>16582</v>
      </c>
      <c r="D200" s="275">
        <v>15971</v>
      </c>
      <c r="E200" s="275">
        <v>16044</v>
      </c>
      <c r="F200" s="275">
        <v>16276</v>
      </c>
      <c r="G200" s="275">
        <v>16509</v>
      </c>
      <c r="H200" s="275">
        <v>16741</v>
      </c>
      <c r="I200" s="275">
        <v>16973</v>
      </c>
      <c r="J200" s="275">
        <v>17206</v>
      </c>
      <c r="K200" s="275">
        <v>18135</v>
      </c>
      <c r="L200" s="277" t="s">
        <v>39</v>
      </c>
    </row>
    <row r="201" spans="1:22" s="277" customFormat="1" x14ac:dyDescent="0.15">
      <c r="A201" s="297" t="s">
        <v>337</v>
      </c>
      <c r="B201" s="298">
        <v>226</v>
      </c>
      <c r="C201" s="275">
        <v>1967</v>
      </c>
      <c r="D201" s="275">
        <v>3148</v>
      </c>
      <c r="E201" s="275">
        <v>3205</v>
      </c>
      <c r="F201" s="275">
        <v>3150</v>
      </c>
      <c r="G201" s="275">
        <v>3039</v>
      </c>
      <c r="H201" s="275">
        <v>2984</v>
      </c>
      <c r="I201" s="275">
        <v>2928</v>
      </c>
      <c r="J201" s="275">
        <v>2707</v>
      </c>
      <c r="K201" s="275"/>
    </row>
    <row r="202" spans="1:22" s="277" customFormat="1" ht="13" customHeight="1" x14ac:dyDescent="0.15">
      <c r="A202" s="297" t="s">
        <v>335</v>
      </c>
      <c r="B202" s="292">
        <v>1737</v>
      </c>
      <c r="C202" s="279">
        <v>132000</v>
      </c>
      <c r="D202" s="279">
        <v>142000</v>
      </c>
      <c r="E202" s="279">
        <v>155000</v>
      </c>
      <c r="F202" s="279">
        <v>157000</v>
      </c>
      <c r="G202" s="279">
        <v>163000</v>
      </c>
      <c r="H202" s="279">
        <v>165000</v>
      </c>
      <c r="I202" s="279">
        <v>170000</v>
      </c>
      <c r="J202" s="279">
        <v>168000</v>
      </c>
      <c r="K202" s="279">
        <v>174000</v>
      </c>
      <c r="L202" s="289" t="s">
        <v>10</v>
      </c>
    </row>
    <row r="203" spans="1:22" s="277" customFormat="1" x14ac:dyDescent="0.15">
      <c r="A203" s="297" t="s">
        <v>338</v>
      </c>
      <c r="B203" s="292">
        <v>5.87</v>
      </c>
      <c r="C203" s="292">
        <v>366</v>
      </c>
      <c r="D203" s="292">
        <v>466</v>
      </c>
      <c r="E203" s="292">
        <v>506</v>
      </c>
      <c r="F203" s="292">
        <v>523</v>
      </c>
      <c r="G203" s="292">
        <v>550</v>
      </c>
      <c r="H203" s="292">
        <v>560</v>
      </c>
      <c r="I203" s="292">
        <v>633</v>
      </c>
      <c r="J203" s="292">
        <v>643</v>
      </c>
      <c r="K203" s="292">
        <v>628</v>
      </c>
      <c r="L203" s="277" t="s">
        <v>24</v>
      </c>
    </row>
    <row r="204" spans="1:22" x14ac:dyDescent="0.15">
      <c r="A204" s="27"/>
      <c r="C204" s="8"/>
      <c r="D204" s="47"/>
      <c r="E204" s="8"/>
      <c r="F204" s="8"/>
      <c r="G204" s="8"/>
      <c r="H204" s="8"/>
      <c r="I204" s="8"/>
      <c r="J204" s="8"/>
      <c r="K204" s="8"/>
      <c r="L204" s="35"/>
    </row>
    <row r="205" spans="1:22" x14ac:dyDescent="0.15">
      <c r="A205" s="110" t="s">
        <v>64</v>
      </c>
      <c r="B205" s="110"/>
      <c r="C205" s="8"/>
      <c r="D205" s="47"/>
      <c r="E205" s="8"/>
      <c r="F205" s="8"/>
      <c r="G205" s="8"/>
      <c r="H205" s="8"/>
      <c r="I205" s="8"/>
      <c r="J205" s="8"/>
      <c r="K205" s="8"/>
      <c r="L205" s="35"/>
    </row>
    <row r="206" spans="1:22" s="43" customFormat="1" x14ac:dyDescent="0.15">
      <c r="C206" s="44"/>
    </row>
    <row r="207" spans="1:22" s="43" customFormat="1" x14ac:dyDescent="0.15">
      <c r="A207" s="172" t="s">
        <v>289</v>
      </c>
      <c r="B207" s="155">
        <f t="shared" ref="B207:K207" si="82">B123*B203/B107</f>
        <v>7.7317863447010346E-2</v>
      </c>
      <c r="C207" s="155">
        <f t="shared" si="82"/>
        <v>3.4898949143618965</v>
      </c>
      <c r="D207" s="155">
        <f t="shared" si="82"/>
        <v>4.633445485287039</v>
      </c>
      <c r="E207" s="155">
        <f t="shared" si="82"/>
        <v>5.0651381272496474</v>
      </c>
      <c r="F207" s="155">
        <f t="shared" si="82"/>
        <v>5.1922933786030159</v>
      </c>
      <c r="G207" s="155">
        <f t="shared" si="82"/>
        <v>5.4901449259863719</v>
      </c>
      <c r="H207" s="155">
        <f t="shared" si="82"/>
        <v>5.5325968284441878</v>
      </c>
      <c r="I207" s="155">
        <f t="shared" si="82"/>
        <v>6.4778291491333198</v>
      </c>
      <c r="J207" s="155">
        <f t="shared" si="82"/>
        <v>5.9233422073514719</v>
      </c>
      <c r="K207" s="155">
        <f t="shared" si="82"/>
        <v>7.0500549371421224</v>
      </c>
    </row>
    <row r="208" spans="1:22" s="185" customFormat="1" x14ac:dyDescent="0.15">
      <c r="A208" s="202" t="s">
        <v>328</v>
      </c>
      <c r="B208" s="192">
        <f>B207</f>
        <v>7.7317863447010346E-2</v>
      </c>
      <c r="C208" s="219">
        <f>B208+40*B207+(C207-B207)*40/2</f>
        <v>71.421573419625147</v>
      </c>
      <c r="D208" s="219">
        <f>C208+C207*25+(D207-C207)*25/2</f>
        <v>172.96332841523684</v>
      </c>
      <c r="E208" s="219">
        <f>D208+E207</f>
        <v>178.02846654248648</v>
      </c>
      <c r="F208" s="219">
        <f t="shared" ref="F208:J208" si="83">E208+F207</f>
        <v>183.2207599210895</v>
      </c>
      <c r="G208" s="219">
        <f t="shared" si="83"/>
        <v>188.71090484707588</v>
      </c>
      <c r="H208" s="219">
        <f t="shared" si="83"/>
        <v>194.24350167552006</v>
      </c>
      <c r="I208" s="219">
        <f t="shared" si="83"/>
        <v>200.72133082465339</v>
      </c>
      <c r="J208" s="219">
        <f t="shared" si="83"/>
        <v>206.64467303200487</v>
      </c>
      <c r="K208" s="219">
        <f>J208+4*K207+4/2*(K207-J207)</f>
        <v>237.09831824015467</v>
      </c>
    </row>
    <row r="209" spans="1:22" x14ac:dyDescent="0.15">
      <c r="B209"/>
      <c r="C209" s="2"/>
      <c r="D209" s="43"/>
    </row>
    <row r="210" spans="1:22" x14ac:dyDescent="0.15">
      <c r="A210" s="27" t="s">
        <v>282</v>
      </c>
      <c r="B210" s="162">
        <f t="shared" ref="B210:K210" si="84">B144*B202/B109</f>
        <v>105.94035143769968</v>
      </c>
      <c r="C210" s="162">
        <f t="shared" si="84"/>
        <v>8050.7348242811504</v>
      </c>
      <c r="D210" s="162">
        <f t="shared" si="84"/>
        <v>8508.191268191269</v>
      </c>
      <c r="E210" s="162">
        <f t="shared" si="84"/>
        <v>14753.586065573771</v>
      </c>
      <c r="F210" s="162">
        <f t="shared" si="84"/>
        <v>14177.575757575758</v>
      </c>
      <c r="G210" s="162">
        <f t="shared" si="84"/>
        <v>16345.009861932936</v>
      </c>
      <c r="H210" s="162">
        <f t="shared" si="84"/>
        <v>19422.211350293543</v>
      </c>
      <c r="I210" s="162">
        <f t="shared" si="84"/>
        <v>23857.669770468965</v>
      </c>
      <c r="J210" s="162">
        <f t="shared" si="84"/>
        <v>27869.238390217117</v>
      </c>
      <c r="K210" s="162">
        <f t="shared" si="84"/>
        <v>30835.944917484372</v>
      </c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</row>
    <row r="211" spans="1:22" x14ac:dyDescent="0.15">
      <c r="A211" s="172" t="s">
        <v>327</v>
      </c>
      <c r="B211" s="163">
        <f t="shared" ref="B211:C211" si="85">(B210*60*(466/560)*(B202/165000)/1000000)</f>
        <v>5.5683486979502915E-5</v>
      </c>
      <c r="C211" s="163">
        <f t="shared" si="85"/>
        <v>0.32156935098128714</v>
      </c>
      <c r="D211" s="130">
        <f>(D210*60*(466/560)*(D202/165000)/1000000)</f>
        <v>0.36558703415503424</v>
      </c>
      <c r="E211" s="163">
        <f t="shared" ref="E211" si="86">(E210*60*(466/560)*(E202/165000)/1000000)</f>
        <v>0.69198150747817766</v>
      </c>
      <c r="F211" s="163">
        <f t="shared" ref="F211:G211" si="87">(F210*60*(466/560)*(F202/165000)/1000000)</f>
        <v>0.67354532310114135</v>
      </c>
      <c r="G211" s="163">
        <f t="shared" si="87"/>
        <v>0.80619107733292328</v>
      </c>
      <c r="H211" s="163">
        <f t="shared" ref="H211" si="88">(H210*60*(466/560)*(H202/165000)/1000000)</f>
        <v>0.96972326670394193</v>
      </c>
      <c r="I211" s="163">
        <f t="shared" ref="I211" si="89">(I210*60*(466/560)*(I202/165000)/1000000)</f>
        <v>1.2272757137769814</v>
      </c>
      <c r="J211" s="163">
        <f t="shared" ref="J211" si="90">(J210*60*(466/560)*(J202/165000)/1000000)</f>
        <v>1.4167707370735829</v>
      </c>
      <c r="K211" s="163">
        <f>(K210*60*(466/560)*(K202/165000)/1000000)</f>
        <v>1.6235725699281187</v>
      </c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</row>
    <row r="212" spans="1:22" s="223" customFormat="1" x14ac:dyDescent="0.15">
      <c r="A212" s="202" t="s">
        <v>329</v>
      </c>
      <c r="B212" s="192">
        <f>B211</f>
        <v>5.5683486979502915E-5</v>
      </c>
      <c r="C212" s="198">
        <f>B212+40*B211+(C211-B211)*40/2</f>
        <v>6.4325563728523134</v>
      </c>
      <c r="D212" s="198">
        <f>(C212+25*(D211-C211)*25/2)</f>
        <v>20.188082364648285</v>
      </c>
      <c r="E212" s="198">
        <f>D212+E211</f>
        <v>20.880063872126463</v>
      </c>
      <c r="F212" s="198">
        <f t="shared" ref="F212:I212" si="91">E212+F211</f>
        <v>21.553609195227605</v>
      </c>
      <c r="G212" s="198">
        <f t="shared" si="91"/>
        <v>22.359800272560527</v>
      </c>
      <c r="H212" s="198">
        <f t="shared" si="91"/>
        <v>23.329523539264468</v>
      </c>
      <c r="I212" s="198">
        <f t="shared" si="91"/>
        <v>24.556799253041451</v>
      </c>
      <c r="J212" s="198">
        <f>I212+J211</f>
        <v>25.973569990115035</v>
      </c>
      <c r="K212" s="198">
        <f t="shared" ref="K212" si="92">J212+K211</f>
        <v>27.597142560043153</v>
      </c>
    </row>
    <row r="213" spans="1:22" s="32" customFormat="1" x14ac:dyDescent="0.15">
      <c r="A213" s="98"/>
      <c r="B213" s="98"/>
      <c r="C213" s="132"/>
      <c r="E213" s="132"/>
      <c r="F213" s="132"/>
      <c r="G213" s="132"/>
      <c r="H213" s="132"/>
      <c r="I213" s="132"/>
      <c r="J213" s="132"/>
      <c r="K213" s="132"/>
    </row>
    <row r="214" spans="1:22" s="32" customFormat="1" x14ac:dyDescent="0.15">
      <c r="A214" s="70" t="s">
        <v>283</v>
      </c>
      <c r="B214" s="160">
        <f t="shared" ref="B214:K214" si="93">B147*B203/B107</f>
        <v>4.5167283599150326E-4</v>
      </c>
      <c r="C214" s="132">
        <f t="shared" si="93"/>
        <v>2.8162224526897813E-2</v>
      </c>
      <c r="D214" s="130">
        <f>D147*D203/D107</f>
        <v>8.9678389274350845E-2</v>
      </c>
      <c r="E214" s="132">
        <f t="shared" si="93"/>
        <v>0.11099469274265002</v>
      </c>
      <c r="F214" s="132">
        <f t="shared" si="93"/>
        <v>0.11121237941826061</v>
      </c>
      <c r="G214" s="132">
        <f t="shared" si="93"/>
        <v>0.11346717253669471</v>
      </c>
      <c r="H214" s="132">
        <f t="shared" si="93"/>
        <v>0.11553021203736188</v>
      </c>
      <c r="I214" s="132">
        <f t="shared" si="93"/>
        <v>0.13059040039223227</v>
      </c>
      <c r="J214" s="132">
        <f t="shared" si="93"/>
        <v>0.13265343989289952</v>
      </c>
      <c r="K214" s="132">
        <f t="shared" si="93"/>
        <v>0.12955888064189872</v>
      </c>
    </row>
    <row r="215" spans="1:22" s="223" customFormat="1" x14ac:dyDescent="0.15">
      <c r="A215" s="186" t="s">
        <v>342</v>
      </c>
      <c r="B215" s="192">
        <f>B214</f>
        <v>4.5167283599150326E-4</v>
      </c>
      <c r="C215" s="198">
        <f>B215+40*B214+(C214-B214)*40/2</f>
        <v>0.57272962009377781</v>
      </c>
      <c r="D215" s="224">
        <f>C215+25*C214+(D214-C214)*25/2</f>
        <v>2.045737292609386</v>
      </c>
      <c r="E215" s="198">
        <f>D215+E214</f>
        <v>2.1567319853520361</v>
      </c>
      <c r="F215" s="198">
        <f t="shared" ref="F215:J215" si="94">E215+F214</f>
        <v>2.2679443647702966</v>
      </c>
      <c r="G215" s="198">
        <f t="shared" si="94"/>
        <v>2.3814115373069913</v>
      </c>
      <c r="H215" s="198">
        <f t="shared" si="94"/>
        <v>2.4969417493443533</v>
      </c>
      <c r="I215" s="198">
        <f t="shared" si="94"/>
        <v>2.6275321497365858</v>
      </c>
      <c r="J215" s="198">
        <f t="shared" si="94"/>
        <v>2.7601855896294851</v>
      </c>
      <c r="K215" s="198">
        <f>J215+4*J214+(K214-J214)*4/2</f>
        <v>3.2846102306990814</v>
      </c>
    </row>
    <row r="216" spans="1:22" s="133" customFormat="1" x14ac:dyDescent="0.15">
      <c r="A216" s="98"/>
      <c r="B216" s="98"/>
      <c r="C216" s="130"/>
      <c r="D216" s="158"/>
      <c r="E216" s="130"/>
      <c r="F216" s="130"/>
      <c r="G216" s="130"/>
      <c r="H216" s="130"/>
      <c r="I216" s="130"/>
      <c r="J216" s="130"/>
      <c r="K216" s="130"/>
    </row>
    <row r="217" spans="1:22" s="133" customFormat="1" x14ac:dyDescent="0.15">
      <c r="A217" s="70" t="s">
        <v>11</v>
      </c>
      <c r="B217" s="163">
        <f t="shared" ref="B217:K217" si="95">B149*B203/B107</f>
        <v>1.4504454933975859E-3</v>
      </c>
      <c r="C217" s="130">
        <f t="shared" si="95"/>
        <v>9.043663553381881E-2</v>
      </c>
      <c r="D217" s="130">
        <f t="shared" si="95"/>
        <v>0.13563280651060888</v>
      </c>
      <c r="E217" s="130">
        <f t="shared" si="95"/>
        <v>0.10714284955600399</v>
      </c>
      <c r="F217" s="130">
        <f t="shared" si="95"/>
        <v>0.1092587526848723</v>
      </c>
      <c r="G217" s="130">
        <f t="shared" si="95"/>
        <v>0.12229698306589597</v>
      </c>
      <c r="H217" s="130">
        <f t="shared" si="95"/>
        <v>0.11088584049424371</v>
      </c>
      <c r="I217" s="130">
        <f t="shared" si="95"/>
        <v>0.1319254673318381</v>
      </c>
      <c r="J217" s="130">
        <f t="shared" si="95"/>
        <v>0.22869200222003228</v>
      </c>
      <c r="K217" s="130">
        <f t="shared" si="95"/>
        <v>0.22710539182937903</v>
      </c>
    </row>
    <row r="218" spans="1:22" s="223" customFormat="1" x14ac:dyDescent="0.15">
      <c r="A218" s="186" t="s">
        <v>350</v>
      </c>
      <c r="B218" s="192">
        <f>B217</f>
        <v>1.4504454933975859E-3</v>
      </c>
      <c r="C218" s="198">
        <f>B218+40*B217+(C217-B217)*40/2</f>
        <v>1.8391920660377257</v>
      </c>
      <c r="D218" s="224">
        <f>C218+25*C217+(D217-C217)*25/2</f>
        <v>4.6650600915930722</v>
      </c>
      <c r="E218" s="198">
        <f>D218+E217</f>
        <v>4.7722029411490761</v>
      </c>
      <c r="F218" s="198">
        <f t="shared" ref="F218:I218" si="96">E218+F217</f>
        <v>4.8814616938339483</v>
      </c>
      <c r="G218" s="198">
        <f t="shared" si="96"/>
        <v>5.0037586768998441</v>
      </c>
      <c r="H218" s="198">
        <f t="shared" si="96"/>
        <v>5.1146445173940878</v>
      </c>
      <c r="I218" s="198">
        <f t="shared" si="96"/>
        <v>5.2465699847259257</v>
      </c>
      <c r="J218" s="198">
        <f>I218+J217</f>
        <v>5.4752619869459576</v>
      </c>
      <c r="K218" s="198">
        <f>J218+4*J217+(K217-J217)*(4/2)</f>
        <v>6.3868567750447802</v>
      </c>
    </row>
    <row r="219" spans="1:22" s="133" customFormat="1" x14ac:dyDescent="0.15">
      <c r="A219" s="98"/>
      <c r="B219" s="98"/>
      <c r="C219" s="130"/>
      <c r="D219" s="158"/>
      <c r="E219" s="130"/>
      <c r="F219" s="130"/>
      <c r="G219" s="130"/>
      <c r="H219" s="130"/>
      <c r="I219" s="130"/>
      <c r="J219" s="130"/>
      <c r="K219" s="130"/>
    </row>
    <row r="220" spans="1:22" s="133" customFormat="1" x14ac:dyDescent="0.15">
      <c r="A220" s="230" t="s">
        <v>354</v>
      </c>
      <c r="B220" s="163">
        <f t="shared" ref="B220:K220" si="97">B153*B203/(B107)</f>
        <v>2.0097262733562521E-2</v>
      </c>
      <c r="C220" s="163">
        <f t="shared" si="97"/>
        <v>7.5600502491814394</v>
      </c>
      <c r="D220" s="163">
        <f t="shared" si="97"/>
        <v>21.528181599824556</v>
      </c>
      <c r="E220" s="163">
        <f t="shared" si="97"/>
        <v>23.466855630614948</v>
      </c>
      <c r="F220" s="163">
        <f t="shared" si="97"/>
        <v>24.384311176931789</v>
      </c>
      <c r="G220" s="163">
        <f t="shared" si="97"/>
        <v>25.749351886420492</v>
      </c>
      <c r="H220" s="163">
        <f t="shared" si="97"/>
        <v>26.318309504842567</v>
      </c>
      <c r="I220" s="163">
        <f t="shared" si="97"/>
        <v>29.821084058864315</v>
      </c>
      <c r="J220" s="163">
        <f t="shared" si="97"/>
        <v>32.775150360615193</v>
      </c>
      <c r="K220" s="163">
        <f t="shared" si="97"/>
        <v>34.528996525247116</v>
      </c>
    </row>
    <row r="221" spans="1:22" s="223" customFormat="1" x14ac:dyDescent="0.15">
      <c r="A221" s="197" t="s">
        <v>351</v>
      </c>
      <c r="B221" s="225">
        <f>B220</f>
        <v>2.0097262733562521E-2</v>
      </c>
      <c r="C221" s="198">
        <f>B221+40*B220+(C220-B220)*40/2</f>
        <v>151.6230475010336</v>
      </c>
      <c r="D221" s="198">
        <f>C221+25*C220+(D220-C220)*25/2</f>
        <v>515.22594561360847</v>
      </c>
      <c r="E221" s="198">
        <f>D221+E220</f>
        <v>538.69280124422346</v>
      </c>
      <c r="F221" s="198">
        <f t="shared" ref="F221:H221" si="98">E221+F220</f>
        <v>563.07711242115522</v>
      </c>
      <c r="G221" s="198">
        <f t="shared" si="98"/>
        <v>588.82646430757575</v>
      </c>
      <c r="H221" s="198">
        <f t="shared" si="98"/>
        <v>615.14477381241829</v>
      </c>
      <c r="I221" s="198">
        <f>H221+I220</f>
        <v>644.96585787128265</v>
      </c>
      <c r="J221" s="198">
        <f t="shared" ref="J221" si="99">I221+J220</f>
        <v>677.74100823189781</v>
      </c>
      <c r="K221" s="198">
        <f t="shared" ref="K221" si="100">J221+K220</f>
        <v>712.27000475714487</v>
      </c>
    </row>
    <row r="222" spans="1:22" s="133" customFormat="1" x14ac:dyDescent="0.15">
      <c r="A222" s="98"/>
      <c r="B222" s="98"/>
      <c r="C222" s="130"/>
      <c r="D222" s="158"/>
      <c r="E222" s="130"/>
      <c r="F222" s="130"/>
      <c r="G222" s="130"/>
      <c r="H222" s="130"/>
      <c r="I222" s="130"/>
      <c r="J222" s="130"/>
      <c r="K222" s="130"/>
    </row>
    <row r="223" spans="1:22" s="133" customFormat="1" x14ac:dyDescent="0.15">
      <c r="A223" t="s">
        <v>23</v>
      </c>
      <c r="B223" s="158">
        <f t="shared" ref="B223:K223" si="101">B155*(B203/B107)</f>
        <v>8.6973809993670645E-2</v>
      </c>
      <c r="C223" s="158">
        <f t="shared" si="101"/>
        <v>1.7467669711760401</v>
      </c>
      <c r="D223" s="158">
        <f t="shared" si="101"/>
        <v>4.7070028442704146</v>
      </c>
      <c r="E223" s="158">
        <f t="shared" si="101"/>
        <v>5.4229896708640126</v>
      </c>
      <c r="F223" s="158">
        <f t="shared" si="101"/>
        <v>5.1674923996597046</v>
      </c>
      <c r="G223" s="158">
        <f t="shared" si="101"/>
        <v>5.4211246178211079</v>
      </c>
      <c r="H223" s="158">
        <f t="shared" si="101"/>
        <v>5.487464601296054</v>
      </c>
      <c r="I223" s="158">
        <f t="shared" si="101"/>
        <v>5.6480810548194258</v>
      </c>
      <c r="J223" s="158">
        <f t="shared" si="101"/>
        <v>5.8595349295432566</v>
      </c>
      <c r="K223" s="158">
        <f t="shared" si="101"/>
        <v>6.1032743051449092</v>
      </c>
    </row>
    <row r="224" spans="1:22" s="223" customFormat="1" x14ac:dyDescent="0.15">
      <c r="A224" s="186" t="s">
        <v>330</v>
      </c>
      <c r="B224" s="192">
        <f>B223</f>
        <v>8.6973809993670645E-2</v>
      </c>
      <c r="C224" s="198">
        <f>B224+40*B223+(C223-B223)*40/2</f>
        <v>36.761789433387889</v>
      </c>
      <c r="D224" s="224">
        <f>C223+25*C223+(D223-C223)*25/2</f>
        <v>82.418889664256739</v>
      </c>
      <c r="E224" s="198">
        <f>D224+E223</f>
        <v>87.841879335120751</v>
      </c>
      <c r="F224" s="198">
        <f t="shared" ref="F224:I224" si="102">E224+F223</f>
        <v>93.009371734780458</v>
      </c>
      <c r="G224" s="198">
        <f t="shared" si="102"/>
        <v>98.430496352601565</v>
      </c>
      <c r="H224" s="198">
        <f t="shared" si="102"/>
        <v>103.91796095389762</v>
      </c>
      <c r="I224" s="198">
        <f t="shared" si="102"/>
        <v>109.56604200871705</v>
      </c>
      <c r="J224" s="198">
        <f>I224+J223</f>
        <v>115.42557693826031</v>
      </c>
      <c r="K224" s="198">
        <f>J224+4*J223+(K223-J223)*4/2</f>
        <v>139.35119540763662</v>
      </c>
    </row>
    <row r="225" spans="1:14" s="133" customFormat="1" x14ac:dyDescent="0.15">
      <c r="A225" s="98"/>
      <c r="B225" s="98"/>
      <c r="C225" s="130"/>
      <c r="E225" s="130"/>
      <c r="F225" s="130"/>
      <c r="G225" s="130"/>
      <c r="H225" s="130"/>
      <c r="I225" s="130"/>
      <c r="J225" s="130"/>
      <c r="K225" s="130"/>
    </row>
    <row r="226" spans="1:14" s="133" customFormat="1" x14ac:dyDescent="0.15">
      <c r="A226" s="95" t="s">
        <v>402</v>
      </c>
      <c r="B226" s="163">
        <f t="shared" ref="B226:K226" si="103">(B160*1000)*(B202/(B109*1000000))</f>
        <v>3.965538388479458E-2</v>
      </c>
      <c r="C226" s="163">
        <f t="shared" si="103"/>
        <v>27.111101366113399</v>
      </c>
      <c r="D226" s="163">
        <f t="shared" si="103"/>
        <v>72.120331229025751</v>
      </c>
      <c r="E226" s="163">
        <f t="shared" si="103"/>
        <v>80.902061351592408</v>
      </c>
      <c r="F226" s="163">
        <f t="shared" si="103"/>
        <v>81.418818674142656</v>
      </c>
      <c r="G226" s="163">
        <f t="shared" si="103"/>
        <v>89.717016596700802</v>
      </c>
      <c r="H226" s="163">
        <f t="shared" si="103"/>
        <v>94.179719397519392</v>
      </c>
      <c r="I226" s="163">
        <f t="shared" si="103"/>
        <v>107.15632377780773</v>
      </c>
      <c r="J226" s="163">
        <f t="shared" si="103"/>
        <v>105.85827079689362</v>
      </c>
      <c r="K226" s="163">
        <f t="shared" si="103"/>
        <v>111.03756112099154</v>
      </c>
    </row>
    <row r="227" spans="1:14" s="223" customFormat="1" x14ac:dyDescent="0.15">
      <c r="A227" s="302" t="s">
        <v>331</v>
      </c>
      <c r="B227" s="192">
        <f>B226</f>
        <v>3.965538388479458E-2</v>
      </c>
      <c r="C227" s="198">
        <f>B227+40*B226+(C226-B226)*40/2</f>
        <v>543.05479038384863</v>
      </c>
      <c r="D227" s="224">
        <f>C227+25*C226+(D226-C226)*25/2</f>
        <v>1783.4476978230882</v>
      </c>
      <c r="E227" s="198">
        <f>D227+E226</f>
        <v>1864.3497591746807</v>
      </c>
      <c r="F227" s="198">
        <f t="shared" ref="F227:H227" si="104">E227+F226</f>
        <v>1945.7685778488233</v>
      </c>
      <c r="G227" s="198">
        <f t="shared" si="104"/>
        <v>2035.4855944455242</v>
      </c>
      <c r="H227" s="198">
        <f t="shared" si="104"/>
        <v>2129.6653138430434</v>
      </c>
      <c r="I227" s="198">
        <f>H227+I226</f>
        <v>2236.8216376208511</v>
      </c>
      <c r="J227" s="198">
        <f t="shared" ref="J227" si="105">I227+J226</f>
        <v>2342.6799084177446</v>
      </c>
      <c r="K227" s="198">
        <f>J227+4*J226+(K226-J226)*4/2</f>
        <v>2776.4715722535152</v>
      </c>
    </row>
    <row r="228" spans="1:14" s="133" customFormat="1" x14ac:dyDescent="0.15">
      <c r="A228" s="242"/>
      <c r="B228" s="179"/>
      <c r="C228" s="163"/>
      <c r="D228" s="158"/>
      <c r="F228" s="163"/>
      <c r="G228" s="163"/>
      <c r="H228" s="163"/>
      <c r="I228" s="163"/>
      <c r="J228" s="163"/>
      <c r="K228" s="163"/>
    </row>
    <row r="229" spans="1:14" s="133" customFormat="1" x14ac:dyDescent="0.15">
      <c r="A229" s="159"/>
      <c r="B229" s="159"/>
      <c r="C229" s="130"/>
      <c r="D229" s="158"/>
      <c r="E229" s="130"/>
      <c r="F229" s="130"/>
      <c r="G229" s="130"/>
      <c r="H229" s="130"/>
      <c r="I229" s="130"/>
      <c r="J229" s="130"/>
      <c r="K229" s="130"/>
    </row>
    <row r="230" spans="1:14" s="223" customFormat="1" x14ac:dyDescent="0.15">
      <c r="A230" s="229" t="s">
        <v>352</v>
      </c>
      <c r="B230" s="198">
        <f t="shared" ref="B230:K230" si="106">B212+B215+B218+B221+B224+B227</f>
        <v>0.14868425842839633</v>
      </c>
      <c r="C230" s="198">
        <f t="shared" si="106"/>
        <v>740.28410537725392</v>
      </c>
      <c r="D230" s="198">
        <f t="shared" si="106"/>
        <v>2407.991412849804</v>
      </c>
      <c r="E230" s="198">
        <f t="shared" si="106"/>
        <v>2518.6934385526524</v>
      </c>
      <c r="F230" s="198">
        <f t="shared" si="106"/>
        <v>2630.5580772585909</v>
      </c>
      <c r="G230" s="198">
        <f t="shared" si="106"/>
        <v>2752.487525592469</v>
      </c>
      <c r="H230" s="198">
        <f t="shared" si="106"/>
        <v>2879.6691584153623</v>
      </c>
      <c r="I230" s="198">
        <f t="shared" si="106"/>
        <v>3023.784438888355</v>
      </c>
      <c r="J230" s="198">
        <f t="shared" si="106"/>
        <v>3170.0555111545932</v>
      </c>
      <c r="K230" s="198">
        <f t="shared" si="106"/>
        <v>3665.3613819840839</v>
      </c>
    </row>
    <row r="231" spans="1:14" s="133" customFormat="1" x14ac:dyDescent="0.15">
      <c r="A231" s="24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</row>
    <row r="232" spans="1:14" s="133" customFormat="1" x14ac:dyDescent="0.15">
      <c r="A232" s="95" t="s">
        <v>403</v>
      </c>
      <c r="B232" s="179">
        <f t="shared" ref="B232:K232" si="107">(B166*B202/B109)/1000</f>
        <v>9.3051720386290691E-3</v>
      </c>
      <c r="C232" s="179">
        <f t="shared" si="107"/>
        <v>3.5669754940029224</v>
      </c>
      <c r="D232" s="179">
        <f t="shared" si="107"/>
        <v>5.2598104761522375</v>
      </c>
      <c r="E232" s="179">
        <f t="shared" si="107"/>
        <v>5.4431457218353723</v>
      </c>
      <c r="F232" s="179">
        <f t="shared" si="107"/>
        <v>5.7295806770615494</v>
      </c>
      <c r="G232" s="179">
        <f t="shared" si="107"/>
        <v>5.8556350319494275</v>
      </c>
      <c r="H232" s="179">
        <f t="shared" si="107"/>
        <v>5.8184512403505986</v>
      </c>
      <c r="I232" s="179">
        <f t="shared" si="107"/>
        <v>5.4337886744259061</v>
      </c>
      <c r="J232" s="179">
        <f t="shared" si="107"/>
        <v>5.8622178541352525</v>
      </c>
      <c r="K232" s="179">
        <f t="shared" si="107"/>
        <v>5.4622721060971955</v>
      </c>
    </row>
    <row r="233" spans="1:14" s="223" customFormat="1" x14ac:dyDescent="0.15">
      <c r="A233" s="229" t="s">
        <v>368</v>
      </c>
      <c r="B233" s="192">
        <f>B232</f>
        <v>9.3051720386290691E-3</v>
      </c>
      <c r="C233" s="198">
        <f>B233+40*B232+(C232-B232)*40/2</f>
        <v>71.534918492869664</v>
      </c>
      <c r="D233" s="224">
        <f>C233+25*C232+(D232-C232)*25/2</f>
        <v>181.86974311980919</v>
      </c>
      <c r="E233" s="198">
        <f>D233+E232</f>
        <v>187.31288884164456</v>
      </c>
      <c r="F233" s="198">
        <f t="shared" ref="F233:J233" si="108">E233+F232</f>
        <v>193.04246951870613</v>
      </c>
      <c r="G233" s="198">
        <f t="shared" si="108"/>
        <v>198.89810455065555</v>
      </c>
      <c r="H233" s="198">
        <f t="shared" si="108"/>
        <v>204.71655579100616</v>
      </c>
      <c r="I233" s="198">
        <f t="shared" si="108"/>
        <v>210.15034446543206</v>
      </c>
      <c r="J233" s="198">
        <f t="shared" si="108"/>
        <v>216.01256231956731</v>
      </c>
      <c r="K233" s="198">
        <f>J233+K232</f>
        <v>221.47483442566451</v>
      </c>
    </row>
    <row r="234" spans="1:14" s="133" customFormat="1" x14ac:dyDescent="0.15">
      <c r="A234" s="159"/>
      <c r="B234" s="159"/>
      <c r="C234" s="130"/>
      <c r="D234" s="158"/>
      <c r="E234" s="130"/>
      <c r="F234" s="130"/>
      <c r="G234" s="130"/>
      <c r="H234" s="130"/>
      <c r="I234" s="130"/>
      <c r="J234" s="130"/>
      <c r="K234" s="130"/>
    </row>
    <row r="235" spans="1:14" s="133" customFormat="1" x14ac:dyDescent="0.15">
      <c r="A235" t="s">
        <v>401</v>
      </c>
      <c r="B235"/>
      <c r="C235" s="130"/>
      <c r="D235" s="158"/>
      <c r="E235" s="130"/>
      <c r="F235" s="130"/>
      <c r="G235" s="130"/>
      <c r="H235" s="130"/>
      <c r="I235" s="130"/>
      <c r="J235" s="130"/>
      <c r="K235" s="130"/>
    </row>
    <row r="236" spans="1:14" s="223" customFormat="1" x14ac:dyDescent="0.15">
      <c r="A236" s="202" t="s">
        <v>332</v>
      </c>
      <c r="B236" s="198">
        <f t="shared" ref="B236:K236" si="109">(B230*(2/(2-B75)))</f>
        <v>0.15650974571410139</v>
      </c>
      <c r="C236" s="198">
        <f t="shared" si="109"/>
        <v>1172.7272956471347</v>
      </c>
      <c r="D236" s="198">
        <f t="shared" si="109"/>
        <v>5234.7639409778358</v>
      </c>
      <c r="E236" s="198">
        <f t="shared" si="109"/>
        <v>5535.5899748409947</v>
      </c>
      <c r="F236" s="198">
        <f>(F230*(2/(2-F75)))</f>
        <v>5845.6846161302019</v>
      </c>
      <c r="G236" s="198">
        <f t="shared" si="109"/>
        <v>6255.6534672556118</v>
      </c>
      <c r="H236" s="198">
        <f t="shared" si="109"/>
        <v>6619.9290998054303</v>
      </c>
      <c r="I236" s="198">
        <f t="shared" si="109"/>
        <v>7032.0568346240807</v>
      </c>
      <c r="J236" s="198">
        <f t="shared" si="109"/>
        <v>7547.7512170347454</v>
      </c>
      <c r="K236" s="198">
        <f t="shared" si="109"/>
        <v>8832.1961011664662</v>
      </c>
    </row>
    <row r="237" spans="1:14" s="133" customFormat="1" x14ac:dyDescent="0.15">
      <c r="A237" t="s">
        <v>5</v>
      </c>
      <c r="B237" s="222" t="s">
        <v>333</v>
      </c>
      <c r="C237" s="160">
        <f>D237*C236/D236</f>
        <v>63.730677805978438</v>
      </c>
      <c r="D237" s="163">
        <f>(E236-D236)*D236/E236</f>
        <v>284.47794755959598</v>
      </c>
      <c r="E237" s="160">
        <f>E236-D236</f>
        <v>300.82603386315895</v>
      </c>
      <c r="F237" s="160">
        <f t="shared" ref="F237:I237" si="110">F236-E236</f>
        <v>310.09464128920717</v>
      </c>
      <c r="G237" s="160">
        <f t="shared" si="110"/>
        <v>409.96885112540986</v>
      </c>
      <c r="H237" s="160">
        <f t="shared" si="110"/>
        <v>364.27563254981851</v>
      </c>
      <c r="I237" s="160">
        <f t="shared" si="110"/>
        <v>412.12773481865042</v>
      </c>
      <c r="J237" s="160">
        <f>J236-I236</f>
        <v>515.69438241066473</v>
      </c>
      <c r="K237" s="160">
        <f>((K236-J236)/4)*(K236/J236)</f>
        <v>375.75659198291157</v>
      </c>
    </row>
    <row r="238" spans="1:14" s="133" customFormat="1" x14ac:dyDescent="0.15">
      <c r="A238" s="159"/>
      <c r="B238" s="226"/>
      <c r="C238" s="130"/>
      <c r="D238" s="158"/>
      <c r="E238" s="130"/>
      <c r="F238" s="130"/>
      <c r="G238" s="130"/>
      <c r="H238" s="130"/>
      <c r="I238" s="130"/>
      <c r="J238" s="130"/>
      <c r="K238" s="130"/>
    </row>
    <row r="239" spans="1:14" s="185" customFormat="1" x14ac:dyDescent="0.15">
      <c r="A239" s="241" t="s">
        <v>378</v>
      </c>
      <c r="B239" s="182">
        <f>B208+B230+B233+B236</f>
        <v>0.39181703962813719</v>
      </c>
      <c r="C239" s="184">
        <f t="shared" ref="C239:K239" si="111">C208+C230+C236</f>
        <v>1984.4329744440138</v>
      </c>
      <c r="D239" s="184">
        <f t="shared" si="111"/>
        <v>7815.7186822428766</v>
      </c>
      <c r="E239" s="184">
        <f t="shared" si="111"/>
        <v>8232.3118799361328</v>
      </c>
      <c r="F239" s="184">
        <f t="shared" si="111"/>
        <v>8659.4634533098833</v>
      </c>
      <c r="G239" s="184">
        <f t="shared" si="111"/>
        <v>9196.8518976951564</v>
      </c>
      <c r="H239" s="184">
        <f t="shared" si="111"/>
        <v>9693.8417598963133</v>
      </c>
      <c r="I239" s="184">
        <f t="shared" si="111"/>
        <v>10256.562604337088</v>
      </c>
      <c r="J239" s="184">
        <f t="shared" si="111"/>
        <v>10924.451401221344</v>
      </c>
      <c r="K239" s="184">
        <f t="shared" si="111"/>
        <v>12734.655801390705</v>
      </c>
    </row>
    <row r="240" spans="1:14" x14ac:dyDescent="0.15">
      <c r="A240" s="27"/>
      <c r="B240" s="27"/>
      <c r="C240" s="2"/>
      <c r="D240" s="47"/>
      <c r="E240" s="8"/>
      <c r="F240" s="8"/>
      <c r="G240" s="8"/>
      <c r="H240" s="8"/>
      <c r="I240" s="8"/>
      <c r="J240" s="8"/>
      <c r="K240" s="8"/>
      <c r="L240" s="31"/>
      <c r="M240" s="31"/>
      <c r="N240" s="31"/>
    </row>
    <row r="241" spans="1:24" x14ac:dyDescent="0.15">
      <c r="A241" s="161" t="s">
        <v>3</v>
      </c>
      <c r="B241" s="161"/>
      <c r="C241" s="2"/>
      <c r="D241" s="47"/>
      <c r="E241" s="8"/>
      <c r="F241" s="8"/>
      <c r="G241" s="8"/>
      <c r="H241" s="8"/>
      <c r="I241" s="8"/>
      <c r="J241" s="8"/>
      <c r="K241" s="8"/>
      <c r="L241" s="31"/>
      <c r="M241" s="31"/>
      <c r="N241" s="31"/>
    </row>
    <row r="242" spans="1:24" x14ac:dyDescent="0.15">
      <c r="A242" s="161"/>
      <c r="B242" s="161"/>
      <c r="C242" s="2"/>
      <c r="D242" s="47"/>
      <c r="E242" s="8"/>
      <c r="F242" s="8"/>
      <c r="G242" s="8"/>
      <c r="H242" s="8"/>
      <c r="I242" s="8"/>
      <c r="J242" s="8"/>
      <c r="K242" s="8"/>
      <c r="L242" s="31"/>
      <c r="M242" s="31"/>
      <c r="N242" s="31"/>
    </row>
    <row r="243" spans="1:24" x14ac:dyDescent="0.15">
      <c r="A243" t="s">
        <v>21</v>
      </c>
      <c r="B243"/>
      <c r="C243" s="2"/>
      <c r="D243" s="47"/>
      <c r="E243" s="8"/>
      <c r="F243" s="8"/>
      <c r="G243" s="8"/>
      <c r="H243" s="8"/>
      <c r="I243" s="8"/>
      <c r="J243" s="8"/>
      <c r="K243" s="8"/>
      <c r="L243" s="31"/>
      <c r="M243" s="31"/>
      <c r="N243" s="31"/>
    </row>
    <row r="244" spans="1:24" s="185" customFormat="1" x14ac:dyDescent="0.15">
      <c r="A244" s="210" t="s">
        <v>76</v>
      </c>
      <c r="B244" s="198">
        <f t="shared" ref="B244:K244" si="112">(B179*B203)/B107</f>
        <v>4.7216087252897068E-2</v>
      </c>
      <c r="C244" s="198">
        <f t="shared" si="112"/>
        <v>914.50540540540544</v>
      </c>
      <c r="D244" s="198">
        <f t="shared" si="112"/>
        <v>2317.7149144926871</v>
      </c>
      <c r="E244" s="198">
        <f t="shared" si="112"/>
        <v>2579.7252047315742</v>
      </c>
      <c r="F244" s="198">
        <f>(F179*F203)/F107</f>
        <v>2657.3425266903914</v>
      </c>
      <c r="G244" s="198">
        <f t="shared" si="112"/>
        <v>2842.4672489082968</v>
      </c>
      <c r="H244" s="198">
        <f t="shared" si="112"/>
        <v>2945.7632933104633</v>
      </c>
      <c r="I244" s="198">
        <f t="shared" si="112"/>
        <v>3296.6814846784637</v>
      </c>
      <c r="J244" s="198">
        <f t="shared" si="112"/>
        <v>2932.4502199120352</v>
      </c>
      <c r="K244" s="198">
        <f t="shared" si="112"/>
        <v>3260.2550716767191</v>
      </c>
      <c r="L244" s="227"/>
      <c r="M244" s="227"/>
      <c r="N244" s="227"/>
    </row>
    <row r="245" spans="1:24" x14ac:dyDescent="0.15">
      <c r="A245" s="27"/>
      <c r="B245" s="27"/>
      <c r="C245" s="2"/>
      <c r="D245" s="47"/>
      <c r="E245" s="8"/>
      <c r="F245" s="8"/>
      <c r="G245" s="8"/>
      <c r="H245" s="8"/>
      <c r="I245" s="8"/>
      <c r="J245" s="8"/>
      <c r="K245" s="8"/>
      <c r="L245" s="31"/>
      <c r="M245" s="31"/>
      <c r="N245" s="31"/>
    </row>
    <row r="246" spans="1:24" x14ac:dyDescent="0.15">
      <c r="A246" s="174" t="s">
        <v>341</v>
      </c>
      <c r="B246" s="131">
        <f t="shared" ref="B246:K246" si="113">B181*B203/B107</f>
        <v>2.7009202453987733</v>
      </c>
      <c r="C246" s="131">
        <f t="shared" si="113"/>
        <v>62.566216216216219</v>
      </c>
      <c r="D246" s="131">
        <f t="shared" si="113"/>
        <v>99.348952363486319</v>
      </c>
      <c r="E246" s="131">
        <f t="shared" si="113"/>
        <v>113.95359417652411</v>
      </c>
      <c r="F246" s="131">
        <f t="shared" si="113"/>
        <v>120.51334519572954</v>
      </c>
      <c r="G246" s="131">
        <f t="shared" si="113"/>
        <v>125.85152838427948</v>
      </c>
      <c r="H246" s="131">
        <f t="shared" si="113"/>
        <v>146.24356775300171</v>
      </c>
      <c r="I246" s="131">
        <f t="shared" si="113"/>
        <v>148.0733707380233</v>
      </c>
      <c r="J246" s="131">
        <f t="shared" si="113"/>
        <v>150.14474210315873</v>
      </c>
      <c r="K246" s="131">
        <f t="shared" si="113"/>
        <v>186.7919413054282</v>
      </c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</row>
    <row r="247" spans="1:24" s="185" customFormat="1" x14ac:dyDescent="0.15">
      <c r="A247" s="203" t="s">
        <v>339</v>
      </c>
      <c r="B247" s="184">
        <f t="shared" ref="B247:K247" si="114">B182*B203/B107</f>
        <v>11.58394683026585</v>
      </c>
      <c r="C247" s="184">
        <f t="shared" si="114"/>
        <v>406.55675675675678</v>
      </c>
      <c r="D247" s="184">
        <f t="shared" si="114"/>
        <v>964.64627940030266</v>
      </c>
      <c r="E247" s="184">
        <f t="shared" si="114"/>
        <v>1107.3066424021838</v>
      </c>
      <c r="F247" s="184">
        <f t="shared" si="114"/>
        <v>1185.8233985765125</v>
      </c>
      <c r="G247" s="184">
        <f t="shared" si="114"/>
        <v>1286.8558951965065</v>
      </c>
      <c r="H247" s="184">
        <f t="shared" si="114"/>
        <v>1360.8576329331047</v>
      </c>
      <c r="I247" s="184">
        <f t="shared" si="114"/>
        <v>1603.1264566249461</v>
      </c>
      <c r="J247" s="184">
        <f t="shared" si="114"/>
        <v>1564.6933226709316</v>
      </c>
      <c r="K247" s="184">
        <f t="shared" si="114"/>
        <v>1793.6016580355667</v>
      </c>
      <c r="L247" s="227"/>
      <c r="M247" s="227"/>
      <c r="N247" s="227"/>
    </row>
    <row r="248" spans="1:24" s="43" customFormat="1" x14ac:dyDescent="0.15">
      <c r="A248" s="45"/>
      <c r="B248" s="45"/>
      <c r="C248" s="44"/>
    </row>
    <row r="249" spans="1:24" s="185" customFormat="1" x14ac:dyDescent="0.15">
      <c r="A249" s="265" t="s">
        <v>377</v>
      </c>
      <c r="B249" s="184">
        <f>B244+B247</f>
        <v>11.631162917518747</v>
      </c>
      <c r="C249" s="184">
        <f>C244+C247</f>
        <v>1321.0621621621622</v>
      </c>
      <c r="D249" s="184">
        <f>D244+D247</f>
        <v>3282.3611938929898</v>
      </c>
      <c r="E249" s="184">
        <f t="shared" ref="E249:K249" si="115">E244+E247</f>
        <v>3687.0318471337578</v>
      </c>
      <c r="F249" s="184">
        <f t="shared" si="115"/>
        <v>3843.1659252669042</v>
      </c>
      <c r="G249" s="184">
        <f t="shared" si="115"/>
        <v>4129.3231441048029</v>
      </c>
      <c r="H249" s="184">
        <f t="shared" si="115"/>
        <v>4306.6209262435677</v>
      </c>
      <c r="I249" s="184">
        <f t="shared" si="115"/>
        <v>4899.8079413034102</v>
      </c>
      <c r="J249" s="184">
        <f t="shared" si="115"/>
        <v>4497.1435425829668</v>
      </c>
      <c r="K249" s="184">
        <f t="shared" si="115"/>
        <v>5053.8567297122863</v>
      </c>
    </row>
    <row r="250" spans="1:24" s="43" customFormat="1" x14ac:dyDescent="0.15">
      <c r="A250" s="109"/>
      <c r="B250" s="109"/>
      <c r="C250" s="162"/>
      <c r="D250" s="162"/>
      <c r="E250" s="162"/>
      <c r="F250" s="162"/>
      <c r="G250" s="162"/>
      <c r="H250" s="162"/>
      <c r="I250" s="162"/>
      <c r="J250" s="162"/>
      <c r="K250" s="162"/>
    </row>
    <row r="251" spans="1:24" s="43" customFormat="1" ht="18" x14ac:dyDescent="0.2">
      <c r="A251" s="112" t="s">
        <v>387</v>
      </c>
      <c r="B251" s="50">
        <v>1950</v>
      </c>
      <c r="C251" s="42">
        <v>1990</v>
      </c>
      <c r="D251" s="44">
        <v>2015</v>
      </c>
      <c r="E251" s="44">
        <v>2016</v>
      </c>
      <c r="F251" s="44">
        <v>2017</v>
      </c>
      <c r="G251" s="44">
        <v>2018</v>
      </c>
      <c r="H251" s="44">
        <v>2019</v>
      </c>
      <c r="I251" s="44">
        <v>2020</v>
      </c>
      <c r="J251" s="44">
        <v>2021</v>
      </c>
      <c r="K251" s="44">
        <v>2025</v>
      </c>
    </row>
    <row r="252" spans="1:24" s="43" customFormat="1" x14ac:dyDescent="0.15">
      <c r="A252"/>
      <c r="B252"/>
      <c r="C252" s="53"/>
      <c r="D252" s="47"/>
      <c r="E252" s="47"/>
      <c r="F252" s="47"/>
      <c r="G252" s="47"/>
      <c r="H252" s="47"/>
      <c r="I252" s="47"/>
      <c r="J252" s="47"/>
      <c r="K252" s="47"/>
    </row>
    <row r="253" spans="1:24" s="249" customFormat="1" x14ac:dyDescent="0.15">
      <c r="A253" s="246" t="s">
        <v>7</v>
      </c>
      <c r="B253" s="260">
        <f>B203-B246+B254</f>
        <v>14.408425632491838</v>
      </c>
      <c r="C253" s="260">
        <f t="shared" ref="C253:K253" si="116">C203-C246+C254</f>
        <v>-359.93702849806783</v>
      </c>
      <c r="D253" s="260">
        <f t="shared" si="116"/>
        <v>-4166.706440713373</v>
      </c>
      <c r="E253" s="260">
        <f t="shared" si="116"/>
        <v>-4153.2336269788993</v>
      </c>
      <c r="F253" s="260">
        <f t="shared" si="116"/>
        <v>-4413.8108732387091</v>
      </c>
      <c r="G253" s="260">
        <f t="shared" si="116"/>
        <v>-4643.3802819746334</v>
      </c>
      <c r="H253" s="260">
        <f t="shared" si="116"/>
        <v>-4973.4644014057476</v>
      </c>
      <c r="I253" s="260">
        <f t="shared" si="116"/>
        <v>-4871.8280337717015</v>
      </c>
      <c r="J253" s="260">
        <f t="shared" si="116"/>
        <v>-5934.4526007415361</v>
      </c>
      <c r="K253" s="260">
        <f t="shared" si="116"/>
        <v>-7239.5910129838467</v>
      </c>
    </row>
    <row r="254" spans="1:24" s="249" customFormat="1" x14ac:dyDescent="0.15">
      <c r="A254" s="261" t="s">
        <v>353</v>
      </c>
      <c r="B254" s="252">
        <f>B249-B239</f>
        <v>11.23934587789061</v>
      </c>
      <c r="C254" s="252">
        <f t="shared" ref="C254:K254" si="117">C249-C239</f>
        <v>-663.37081228185161</v>
      </c>
      <c r="D254" s="252">
        <f t="shared" si="117"/>
        <v>-4533.3574883498868</v>
      </c>
      <c r="E254" s="252">
        <f t="shared" si="117"/>
        <v>-4545.280032802375</v>
      </c>
      <c r="F254" s="252">
        <f t="shared" si="117"/>
        <v>-4816.2975280429791</v>
      </c>
      <c r="G254" s="252">
        <f t="shared" si="117"/>
        <v>-5067.5287535903535</v>
      </c>
      <c r="H254" s="252">
        <f t="shared" si="117"/>
        <v>-5387.2208336527456</v>
      </c>
      <c r="I254" s="252">
        <f t="shared" si="117"/>
        <v>-5356.7546630336783</v>
      </c>
      <c r="J254" s="252">
        <f t="shared" si="117"/>
        <v>-6427.3078586383772</v>
      </c>
      <c r="K254" s="252">
        <f t="shared" si="117"/>
        <v>-7680.7990716784188</v>
      </c>
    </row>
    <row r="255" spans="1:24" x14ac:dyDescent="0.15">
      <c r="C255"/>
      <c r="D255" s="43"/>
    </row>
    <row r="256" spans="1:24" s="249" customFormat="1" x14ac:dyDescent="0.15">
      <c r="A256" s="259" t="s">
        <v>77</v>
      </c>
      <c r="B256" s="255">
        <f t="shared" ref="B256:K256" si="118">1000000*B253/B200</f>
        <v>17149.970995994368</v>
      </c>
      <c r="C256" s="255">
        <f t="shared" si="118"/>
        <v>-21706.490682551434</v>
      </c>
      <c r="D256" s="255">
        <f t="shared" si="118"/>
        <v>-260892.01932962076</v>
      </c>
      <c r="E256" s="255">
        <f t="shared" si="118"/>
        <v>-258865.22232478805</v>
      </c>
      <c r="F256" s="252">
        <f t="shared" si="118"/>
        <v>-271185.23428598611</v>
      </c>
      <c r="G256" s="252">
        <f t="shared" si="118"/>
        <v>-281263.57029345405</v>
      </c>
      <c r="H256" s="252">
        <f t="shared" si="118"/>
        <v>-297082.87446423434</v>
      </c>
      <c r="I256" s="252">
        <f t="shared" si="118"/>
        <v>-287033.99715852836</v>
      </c>
      <c r="J256" s="252">
        <f t="shared" si="118"/>
        <v>-344905.99795080413</v>
      </c>
      <c r="K256" s="252">
        <f t="shared" si="118"/>
        <v>-399205.45977302711</v>
      </c>
    </row>
    <row r="257" spans="1:21" s="249" customFormat="1" x14ac:dyDescent="0.15">
      <c r="A257" s="259" t="s">
        <v>8</v>
      </c>
      <c r="B257" s="255">
        <f t="shared" ref="B257:K257" si="119">B254*1000000/B200</f>
        <v>13377.898511347435</v>
      </c>
      <c r="C257" s="255">
        <f t="shared" si="119"/>
        <v>-40005.476557824848</v>
      </c>
      <c r="D257" s="255">
        <f t="shared" si="119"/>
        <v>-283849.31991421245</v>
      </c>
      <c r="E257" s="255">
        <f t="shared" si="119"/>
        <v>-283300.92450775212</v>
      </c>
      <c r="F257" s="255">
        <f t="shared" si="119"/>
        <v>-295914.07766299945</v>
      </c>
      <c r="G257" s="255">
        <f t="shared" si="119"/>
        <v>-306955.5244769734</v>
      </c>
      <c r="H257" s="255">
        <f t="shared" si="119"/>
        <v>-321798.03080178873</v>
      </c>
      <c r="I257" s="255">
        <f t="shared" si="119"/>
        <v>-315604.4696302173</v>
      </c>
      <c r="J257" s="255">
        <f t="shared" si="119"/>
        <v>-373550.38118321385</v>
      </c>
      <c r="K257" s="255">
        <f t="shared" si="119"/>
        <v>-423534.55040961783</v>
      </c>
    </row>
    <row r="258" spans="1:21" x14ac:dyDescent="0.15">
      <c r="B258"/>
      <c r="C258"/>
      <c r="D258" s="43"/>
    </row>
    <row r="259" spans="1:21" x14ac:dyDescent="0.15">
      <c r="B259"/>
    </row>
    <row r="260" spans="1:21" x14ac:dyDescent="0.15">
      <c r="B260"/>
    </row>
    <row r="261" spans="1:21" x14ac:dyDescent="0.15">
      <c r="C261" s="44"/>
    </row>
    <row r="262" spans="1:21" ht="25" x14ac:dyDescent="0.25">
      <c r="A262" s="41" t="s">
        <v>214</v>
      </c>
    </row>
    <row r="263" spans="1:21" x14ac:dyDescent="0.15">
      <c r="A263" s="161" t="s">
        <v>43</v>
      </c>
    </row>
    <row r="264" spans="1:21" x14ac:dyDescent="0.15">
      <c r="A264" s="164" t="s">
        <v>40</v>
      </c>
      <c r="B264" s="2">
        <v>1990</v>
      </c>
      <c r="C264" s="44">
        <v>2015</v>
      </c>
      <c r="D264" s="2">
        <v>2016</v>
      </c>
      <c r="E264" s="2">
        <v>2017</v>
      </c>
      <c r="F264" s="2">
        <v>2018</v>
      </c>
      <c r="G264" s="2">
        <v>2019</v>
      </c>
      <c r="H264" s="2">
        <v>2020</v>
      </c>
      <c r="I264" s="2">
        <v>2021</v>
      </c>
    </row>
    <row r="265" spans="1:21" x14ac:dyDescent="0.15">
      <c r="A265" s="165" t="s">
        <v>16</v>
      </c>
      <c r="B265" s="78">
        <v>26866</v>
      </c>
      <c r="C265" s="79">
        <v>140282</v>
      </c>
      <c r="D265" s="78">
        <v>140647</v>
      </c>
      <c r="E265" s="78">
        <v>141735</v>
      </c>
      <c r="F265" s="78">
        <v>142182</v>
      </c>
      <c r="G265" s="78">
        <v>142576</v>
      </c>
      <c r="H265" s="78"/>
      <c r="I265" s="78"/>
      <c r="J265" s="78"/>
      <c r="K265" s="69" t="s">
        <v>210</v>
      </c>
      <c r="L265" s="69"/>
      <c r="M265" s="69"/>
      <c r="N265" s="69"/>
      <c r="O265" s="69"/>
      <c r="P265" s="69"/>
      <c r="Q265" s="69"/>
      <c r="R265" s="69"/>
      <c r="S265" s="72"/>
      <c r="T265" s="72"/>
      <c r="U265" s="72"/>
    </row>
    <row r="266" spans="1:21" x14ac:dyDescent="0.15">
      <c r="A266" s="165" t="s">
        <v>67</v>
      </c>
      <c r="B266" s="5">
        <f>28539-2*((834+828+847)/3)</f>
        <v>26866.333333333332</v>
      </c>
      <c r="C266" s="143">
        <v>64557</v>
      </c>
      <c r="D266" s="5">
        <v>65275</v>
      </c>
      <c r="E266" s="5">
        <v>67415</v>
      </c>
      <c r="F266" s="5">
        <v>68827</v>
      </c>
      <c r="G266" s="5">
        <v>70468</v>
      </c>
      <c r="H266" s="5">
        <v>71546</v>
      </c>
      <c r="I266" s="128">
        <f>H266+(H266-G266)</f>
        <v>72624</v>
      </c>
      <c r="J266" s="5">
        <f>H266*J349/H349</f>
        <v>0</v>
      </c>
      <c r="K266" s="69" t="s">
        <v>66</v>
      </c>
      <c r="S266" s="2"/>
      <c r="T266" s="2"/>
      <c r="U266" s="2"/>
    </row>
    <row r="267" spans="1:21" ht="13" customHeight="1" x14ac:dyDescent="0.25">
      <c r="A267" s="41"/>
    </row>
    <row r="268" spans="1:21" x14ac:dyDescent="0.15">
      <c r="A268" s="71" t="s">
        <v>212</v>
      </c>
      <c r="B268" s="2">
        <v>2008</v>
      </c>
      <c r="C268" s="44">
        <v>2010</v>
      </c>
      <c r="D268" s="2">
        <v>2014</v>
      </c>
      <c r="E268" s="2">
        <v>2016</v>
      </c>
      <c r="F268" s="2">
        <v>2018</v>
      </c>
    </row>
    <row r="269" spans="1:21" x14ac:dyDescent="0.15">
      <c r="A269" s="94" t="s">
        <v>395</v>
      </c>
      <c r="B269" s="3">
        <f>28.4*1.258*C376/C375</f>
        <v>35.028698147801677</v>
      </c>
      <c r="C269" s="130">
        <f>29.9*1.258*D376/D375</f>
        <v>36.620489522665864</v>
      </c>
      <c r="D269" s="3">
        <f>36.3*1.258*E376/E375</f>
        <v>41.608537375877134</v>
      </c>
      <c r="E269" s="3">
        <f>45.1*1.258*E7/E6</f>
        <v>58.876055040945104</v>
      </c>
      <c r="F269" s="3">
        <f>47.9*1.258*F7/F6</f>
        <v>59.126139022593307</v>
      </c>
      <c r="G269" t="s">
        <v>13</v>
      </c>
    </row>
    <row r="270" spans="1:21" x14ac:dyDescent="0.15">
      <c r="A270" s="94" t="s">
        <v>396</v>
      </c>
      <c r="B270" s="2">
        <v>1990</v>
      </c>
      <c r="C270" s="44">
        <v>2015</v>
      </c>
      <c r="D270" s="2">
        <v>2016</v>
      </c>
      <c r="E270" s="2">
        <v>2017</v>
      </c>
      <c r="F270" s="2">
        <v>2018</v>
      </c>
      <c r="G270" s="2">
        <v>2019</v>
      </c>
      <c r="H270" s="2">
        <v>2020</v>
      </c>
      <c r="I270" s="2">
        <v>2021</v>
      </c>
      <c r="J270" s="2">
        <v>2025</v>
      </c>
    </row>
    <row r="271" spans="1:21" x14ac:dyDescent="0.15">
      <c r="A271" s="174" t="s">
        <v>308</v>
      </c>
      <c r="B271" s="163">
        <f>C269*B7/C7</f>
        <v>9.6075591415001274</v>
      </c>
      <c r="C271" s="130">
        <f>(D269+E269)/2</f>
        <v>50.242296208411119</v>
      </c>
      <c r="D271" s="3">
        <f>E269</f>
        <v>58.876055040945104</v>
      </c>
      <c r="E271" s="3">
        <f>(D271+F271)/2</f>
        <v>59.001097031769206</v>
      </c>
      <c r="F271" s="3">
        <f>F269</f>
        <v>59.126139022593307</v>
      </c>
      <c r="G271" s="4">
        <f>F271*H7/G7</f>
        <v>60.659091984894616</v>
      </c>
      <c r="H271" s="4">
        <f>G271*I7/H7</f>
        <v>58.767972442616376</v>
      </c>
      <c r="I271" s="4">
        <f>H271*J7/I7</f>
        <v>62.220698273594088</v>
      </c>
      <c r="J271" s="4">
        <f>I271*K7/J7</f>
        <v>70.136179691084479</v>
      </c>
    </row>
    <row r="272" spans="1:21" x14ac:dyDescent="0.15">
      <c r="B272" s="44"/>
    </row>
    <row r="273" spans="1:10" x14ac:dyDescent="0.15">
      <c r="A273" s="151" t="s">
        <v>213</v>
      </c>
      <c r="B273" s="73"/>
    </row>
    <row r="274" spans="1:10" x14ac:dyDescent="0.15">
      <c r="A274" s="69" t="s">
        <v>18</v>
      </c>
      <c r="B274" s="74">
        <f>(1.6+((1.6/1.3)*(121*6.625/G11)))/6</f>
        <v>0.2880664450940349</v>
      </c>
      <c r="C274" s="70" t="s">
        <v>215</v>
      </c>
      <c r="J274" s="69"/>
    </row>
    <row r="275" spans="1:10" x14ac:dyDescent="0.15">
      <c r="A275" s="71"/>
      <c r="B275" s="72"/>
      <c r="C275" s="70" t="s">
        <v>17</v>
      </c>
    </row>
    <row r="276" spans="1:10" x14ac:dyDescent="0.15">
      <c r="A276" s="71"/>
      <c r="B276" s="72"/>
      <c r="C276" s="70"/>
    </row>
    <row r="277" spans="1:10" x14ac:dyDescent="0.15">
      <c r="A277" s="71" t="s">
        <v>209</v>
      </c>
      <c r="B277" t="s">
        <v>216</v>
      </c>
      <c r="C277" s="44">
        <v>1990</v>
      </c>
      <c r="D277" s="2">
        <v>2015</v>
      </c>
      <c r="E277" s="2">
        <v>2016</v>
      </c>
      <c r="F277" s="2">
        <v>2017</v>
      </c>
      <c r="G277" s="2">
        <v>2018</v>
      </c>
      <c r="H277" s="2">
        <v>2019</v>
      </c>
      <c r="I277" s="2">
        <v>2020</v>
      </c>
      <c r="J277" s="2">
        <v>2021</v>
      </c>
    </row>
    <row r="278" spans="1:10" x14ac:dyDescent="0.15">
      <c r="A278" s="94" t="s">
        <v>84</v>
      </c>
      <c r="B278"/>
      <c r="C278" s="44"/>
      <c r="D278" s="2"/>
      <c r="E278" s="2"/>
      <c r="F278" s="2"/>
      <c r="G278" s="2"/>
      <c r="H278" s="2"/>
      <c r="I278" s="2"/>
      <c r="J278" s="2"/>
    </row>
    <row r="279" spans="1:10" x14ac:dyDescent="0.15">
      <c r="A279" s="94" t="s">
        <v>85</v>
      </c>
      <c r="B279" t="s">
        <v>217</v>
      </c>
      <c r="C279" s="44">
        <v>96.6</v>
      </c>
      <c r="D279" s="2">
        <v>137.6</v>
      </c>
      <c r="E279" s="2">
        <v>138.30000000000001</v>
      </c>
      <c r="F279" s="2">
        <v>139.6</v>
      </c>
      <c r="G279" s="2">
        <v>137.1</v>
      </c>
      <c r="H279" s="2">
        <v>128.30000000000001</v>
      </c>
      <c r="I279" s="2">
        <v>132.69999999999999</v>
      </c>
      <c r="J279" s="2">
        <v>130.1</v>
      </c>
    </row>
    <row r="280" spans="1:10" x14ac:dyDescent="0.15">
      <c r="A280" s="71" t="s">
        <v>120</v>
      </c>
      <c r="B280" t="s">
        <v>104</v>
      </c>
      <c r="C280" s="44">
        <v>41.9</v>
      </c>
      <c r="D280" s="2">
        <v>56.7</v>
      </c>
      <c r="E280" s="2">
        <v>55.3</v>
      </c>
      <c r="F280" s="2">
        <v>56.6</v>
      </c>
      <c r="G280" s="2">
        <v>55.6</v>
      </c>
      <c r="H280" s="2">
        <v>54.8</v>
      </c>
      <c r="I280" s="2">
        <v>58.7</v>
      </c>
      <c r="J280" s="2">
        <v>56.5</v>
      </c>
    </row>
    <row r="281" spans="1:10" x14ac:dyDescent="0.15">
      <c r="A281" s="71"/>
      <c r="B281" t="s">
        <v>105</v>
      </c>
      <c r="C281" s="44">
        <v>26.6</v>
      </c>
      <c r="D281" s="2">
        <v>47.8</v>
      </c>
      <c r="E281" s="2">
        <v>48.2</v>
      </c>
      <c r="F281" s="2">
        <v>50.1</v>
      </c>
      <c r="G281" s="2">
        <v>49.7</v>
      </c>
      <c r="H281" s="2">
        <v>47.2</v>
      </c>
      <c r="I281" s="2">
        <v>48.8</v>
      </c>
      <c r="J281" s="2">
        <v>49.7</v>
      </c>
    </row>
    <row r="282" spans="1:10" x14ac:dyDescent="0.15">
      <c r="A282" s="71"/>
      <c r="B282" t="s">
        <v>106</v>
      </c>
      <c r="C282" s="44">
        <f t="shared" ref="C282:J282" si="120">C279+C280+C281</f>
        <v>165.1</v>
      </c>
      <c r="D282" s="2">
        <f t="shared" si="120"/>
        <v>242.10000000000002</v>
      </c>
      <c r="E282" s="2">
        <f t="shared" si="120"/>
        <v>241.8</v>
      </c>
      <c r="F282" s="2">
        <f t="shared" si="120"/>
        <v>246.29999999999998</v>
      </c>
      <c r="G282" s="2">
        <f t="shared" si="120"/>
        <v>242.39999999999998</v>
      </c>
      <c r="H282" s="2">
        <f t="shared" si="120"/>
        <v>230.3</v>
      </c>
      <c r="I282" s="2">
        <f t="shared" si="120"/>
        <v>240.2</v>
      </c>
      <c r="J282" s="2">
        <f t="shared" si="120"/>
        <v>236.3</v>
      </c>
    </row>
    <row r="283" spans="1:10" x14ac:dyDescent="0.15">
      <c r="A283" s="71"/>
      <c r="B283"/>
      <c r="C283" s="44"/>
      <c r="D283" s="2"/>
      <c r="E283" s="2"/>
      <c r="F283" s="2"/>
      <c r="G283" s="2"/>
      <c r="H283" s="2"/>
      <c r="I283" s="2"/>
      <c r="J283" s="2"/>
    </row>
    <row r="284" spans="1:10" x14ac:dyDescent="0.15">
      <c r="A284" s="71"/>
      <c r="B284" t="s">
        <v>107</v>
      </c>
      <c r="C284" s="44">
        <v>1990</v>
      </c>
      <c r="D284" s="2">
        <v>2015</v>
      </c>
      <c r="E284" s="2">
        <v>2016</v>
      </c>
      <c r="F284" s="2">
        <v>2017</v>
      </c>
      <c r="G284" s="2">
        <v>2018</v>
      </c>
      <c r="H284" s="2">
        <v>2019</v>
      </c>
      <c r="I284" s="2">
        <v>2020</v>
      </c>
      <c r="J284" s="2">
        <v>2021</v>
      </c>
    </row>
    <row r="285" spans="1:10" ht="16" x14ac:dyDescent="0.2">
      <c r="A285" s="71"/>
      <c r="B285" s="38" t="s">
        <v>108</v>
      </c>
      <c r="C285" s="131">
        <f>((D285+E285+F285+G285+H285)/5)*5*(C279/(D279+E279+F279+G279+H279))</f>
        <v>167.50431487736816</v>
      </c>
      <c r="D285" s="76">
        <v>277.94</v>
      </c>
      <c r="E285" s="76">
        <v>194.13</v>
      </c>
      <c r="F285" s="76">
        <v>213.88</v>
      </c>
      <c r="G285" s="76">
        <v>249.45</v>
      </c>
      <c r="H285" s="76">
        <v>245.28</v>
      </c>
      <c r="I285" s="76">
        <v>229.1</v>
      </c>
      <c r="J285" s="76">
        <v>483.21</v>
      </c>
    </row>
    <row r="286" spans="1:10" ht="16" x14ac:dyDescent="0.2">
      <c r="A286" s="71"/>
      <c r="B286" s="38" t="s">
        <v>109</v>
      </c>
      <c r="C286" s="131">
        <f>((D286+E286+F286+G286+H286)/5)*5*(C280/(D280+E280+F280+G280+H280))</f>
        <v>263.60206093189964</v>
      </c>
      <c r="D286" s="76">
        <v>416.62</v>
      </c>
      <c r="E286" s="76">
        <v>315.81</v>
      </c>
      <c r="F286" s="76">
        <v>323.02999999999997</v>
      </c>
      <c r="G286" s="76">
        <v>393.43</v>
      </c>
      <c r="H286" s="76">
        <v>306.36</v>
      </c>
      <c r="I286" s="76">
        <v>312.42</v>
      </c>
      <c r="J286" s="76">
        <v>600.96</v>
      </c>
    </row>
    <row r="287" spans="1:10" ht="16" x14ac:dyDescent="0.2">
      <c r="A287" s="71"/>
      <c r="B287" s="38" t="s">
        <v>110</v>
      </c>
      <c r="C287" s="131">
        <f>((D287+E287+F287+G287+H287)/5)*5*(C281/(D281+E281+F281+G281+H281))</f>
        <v>136.34087242798356</v>
      </c>
      <c r="D287" s="76">
        <v>296.06</v>
      </c>
      <c r="E287" s="76">
        <v>260.23</v>
      </c>
      <c r="F287" s="76">
        <v>218.23</v>
      </c>
      <c r="G287" s="76">
        <v>215.5</v>
      </c>
      <c r="H287" s="76">
        <v>255.5</v>
      </c>
      <c r="I287" s="76">
        <v>217.79</v>
      </c>
      <c r="J287" s="76">
        <v>210.21</v>
      </c>
    </row>
    <row r="288" spans="1:10" x14ac:dyDescent="0.15">
      <c r="A288" s="71"/>
      <c r="B288"/>
      <c r="C288" s="44"/>
    </row>
    <row r="289" spans="1:12" ht="16" x14ac:dyDescent="0.2">
      <c r="A289" s="71"/>
      <c r="B289" s="38" t="s">
        <v>116</v>
      </c>
      <c r="C289" s="44"/>
      <c r="D289" s="2"/>
      <c r="E289" s="2"/>
      <c r="F289" s="2"/>
      <c r="G289" s="2"/>
      <c r="H289" s="2"/>
      <c r="I289" s="2"/>
      <c r="J289" s="2"/>
    </row>
    <row r="290" spans="1:12" ht="16" x14ac:dyDescent="0.2">
      <c r="A290" s="71"/>
      <c r="B290" s="38" t="s">
        <v>108</v>
      </c>
      <c r="C290" s="130">
        <f>C279*C285/1000</f>
        <v>16.180916817153765</v>
      </c>
      <c r="D290" s="3">
        <f>D279*D285/1000</f>
        <v>38.244544000000005</v>
      </c>
      <c r="E290" s="3">
        <f t="shared" ref="C290:J292" si="121">E279*E285/1000</f>
        <v>26.848179000000002</v>
      </c>
      <c r="F290" s="3">
        <f t="shared" si="121"/>
        <v>29.857647999999998</v>
      </c>
      <c r="G290" s="3">
        <f t="shared" si="121"/>
        <v>34.199594999999995</v>
      </c>
      <c r="H290" s="3">
        <f t="shared" si="121"/>
        <v>31.469424000000004</v>
      </c>
      <c r="I290" s="3">
        <f t="shared" si="121"/>
        <v>30.401569999999996</v>
      </c>
      <c r="J290" s="3">
        <f t="shared" si="121"/>
        <v>62.86562099999999</v>
      </c>
    </row>
    <row r="291" spans="1:12" ht="16" x14ac:dyDescent="0.2">
      <c r="A291" s="71"/>
      <c r="B291" s="38" t="s">
        <v>109</v>
      </c>
      <c r="C291" s="130">
        <f t="shared" si="121"/>
        <v>11.044926353046595</v>
      </c>
      <c r="D291" s="3">
        <f t="shared" si="121"/>
        <v>23.622354000000001</v>
      </c>
      <c r="E291" s="3">
        <f t="shared" si="121"/>
        <v>17.464292999999998</v>
      </c>
      <c r="F291" s="3">
        <f t="shared" si="121"/>
        <v>18.283497999999998</v>
      </c>
      <c r="G291" s="3">
        <f t="shared" si="121"/>
        <v>21.874708000000002</v>
      </c>
      <c r="H291" s="3">
        <f t="shared" si="121"/>
        <v>16.788527999999999</v>
      </c>
      <c r="I291" s="3">
        <f t="shared" si="121"/>
        <v>18.339054000000001</v>
      </c>
      <c r="J291" s="3">
        <f t="shared" si="121"/>
        <v>33.954240000000006</v>
      </c>
    </row>
    <row r="292" spans="1:12" ht="16" x14ac:dyDescent="0.2">
      <c r="A292" s="71"/>
      <c r="B292" s="38" t="s">
        <v>110</v>
      </c>
      <c r="C292" s="130">
        <f t="shared" si="121"/>
        <v>3.6266672065843628</v>
      </c>
      <c r="D292" s="3">
        <f t="shared" si="121"/>
        <v>14.151667999999999</v>
      </c>
      <c r="E292" s="3">
        <f t="shared" si="121"/>
        <v>12.543086000000001</v>
      </c>
      <c r="F292" s="3">
        <f t="shared" si="121"/>
        <v>10.933323</v>
      </c>
      <c r="G292" s="3">
        <f t="shared" si="121"/>
        <v>10.71035</v>
      </c>
      <c r="H292" s="3">
        <f t="shared" si="121"/>
        <v>12.0596</v>
      </c>
      <c r="I292" s="3">
        <f t="shared" si="121"/>
        <v>10.628151999999998</v>
      </c>
      <c r="J292" s="3">
        <f t="shared" si="121"/>
        <v>10.447437000000003</v>
      </c>
    </row>
    <row r="293" spans="1:12" ht="16" x14ac:dyDescent="0.2">
      <c r="A293" s="71"/>
      <c r="B293" s="38" t="s">
        <v>117</v>
      </c>
      <c r="C293" s="131">
        <f>C290+C291+C292</f>
        <v>30.852510376784721</v>
      </c>
      <c r="D293" s="4">
        <f t="shared" ref="D293:J293" si="122">D290+D291+D292</f>
        <v>76.018566000000007</v>
      </c>
      <c r="E293" s="4">
        <f t="shared" si="122"/>
        <v>56.855558000000002</v>
      </c>
      <c r="F293" s="4">
        <f t="shared" si="122"/>
        <v>59.074468999999993</v>
      </c>
      <c r="G293" s="4">
        <f t="shared" si="122"/>
        <v>66.784653000000006</v>
      </c>
      <c r="H293" s="4">
        <f t="shared" si="122"/>
        <v>60.317552000000006</v>
      </c>
      <c r="I293" s="4">
        <f t="shared" si="122"/>
        <v>59.368775999999997</v>
      </c>
      <c r="J293" s="4">
        <f t="shared" si="122"/>
        <v>107.26729800000001</v>
      </c>
    </row>
    <row r="294" spans="1:12" x14ac:dyDescent="0.15">
      <c r="A294" s="71"/>
      <c r="B294" s="72"/>
      <c r="C294" s="70"/>
    </row>
    <row r="295" spans="1:12" x14ac:dyDescent="0.15">
      <c r="A295" s="71" t="s">
        <v>162</v>
      </c>
    </row>
    <row r="296" spans="1:12" x14ac:dyDescent="0.15">
      <c r="A296" s="37" t="s">
        <v>176</v>
      </c>
      <c r="B296" s="26" t="s">
        <v>175</v>
      </c>
      <c r="C296" s="50" t="s">
        <v>177</v>
      </c>
      <c r="D296" s="26" t="s">
        <v>181</v>
      </c>
    </row>
    <row r="297" spans="1:12" x14ac:dyDescent="0.15">
      <c r="A297" s="37" t="s">
        <v>1</v>
      </c>
      <c r="B297" s="2">
        <v>227</v>
      </c>
      <c r="C297" s="44">
        <v>298</v>
      </c>
      <c r="D297" s="2">
        <v>267</v>
      </c>
      <c r="E297" s="69" t="s">
        <v>0</v>
      </c>
    </row>
    <row r="298" spans="1:12" x14ac:dyDescent="0.15">
      <c r="A298" s="37" t="s">
        <v>391</v>
      </c>
      <c r="B298" t="s">
        <v>373</v>
      </c>
      <c r="C298" s="44"/>
      <c r="D298" s="2"/>
      <c r="E298" s="69"/>
    </row>
    <row r="299" spans="1:12" x14ac:dyDescent="0.15">
      <c r="C299" s="44"/>
      <c r="D299" s="2"/>
    </row>
    <row r="300" spans="1:12" s="43" customFormat="1" x14ac:dyDescent="0.15">
      <c r="A300" s="49" t="s">
        <v>205</v>
      </c>
      <c r="B300" s="50">
        <v>1990</v>
      </c>
      <c r="C300" s="44">
        <v>1995</v>
      </c>
      <c r="D300" s="44">
        <v>1996</v>
      </c>
      <c r="E300" s="44">
        <v>1997</v>
      </c>
      <c r="F300" s="44">
        <v>1998</v>
      </c>
      <c r="G300" s="44">
        <v>1999</v>
      </c>
      <c r="H300" s="44">
        <v>2000</v>
      </c>
      <c r="I300" s="44">
        <v>2001</v>
      </c>
      <c r="J300" s="44">
        <v>2002</v>
      </c>
      <c r="K300" s="44">
        <v>2003</v>
      </c>
      <c r="L300" s="44">
        <v>2004</v>
      </c>
    </row>
    <row r="301" spans="1:12" s="43" customFormat="1" x14ac:dyDescent="0.15">
      <c r="A301" s="49" t="s">
        <v>207</v>
      </c>
      <c r="B301" s="269">
        <f>0.94-(1995-1990)*(1.21-0.94)/20</f>
        <v>0.87249999999999994</v>
      </c>
      <c r="C301" s="44">
        <v>0.94</v>
      </c>
      <c r="D301" s="46">
        <f>0.94+(D300-1995)*((1.21-0.94)/20)</f>
        <v>0.9534999999999999</v>
      </c>
      <c r="E301" s="46">
        <f>0.94+(E300-1995)*((1.21-0.94)/20)</f>
        <v>0.96699999999999997</v>
      </c>
      <c r="F301" s="46">
        <f t="shared" ref="F301:K301" si="123">0.94+(F300-1995)*((1.21-0.94)/20)</f>
        <v>0.98049999999999993</v>
      </c>
      <c r="G301" s="46">
        <f t="shared" si="123"/>
        <v>0.99399999999999999</v>
      </c>
      <c r="H301" s="46">
        <f>0.94+(H300-1995)*((1.21-0.94)/20)</f>
        <v>1.0074999999999998</v>
      </c>
      <c r="I301" s="46">
        <f>0.94+(I300-1995)*((1.21-0.94)/20)</f>
        <v>1.0209999999999999</v>
      </c>
      <c r="J301" s="46">
        <f t="shared" si="123"/>
        <v>1.0345</v>
      </c>
      <c r="K301" s="46">
        <f t="shared" si="123"/>
        <v>1.048</v>
      </c>
      <c r="L301" s="46">
        <f>0.94+(((L300-1995)/(2*20)))</f>
        <v>1.165</v>
      </c>
    </row>
    <row r="302" spans="1:12" s="43" customFormat="1" x14ac:dyDescent="0.15">
      <c r="A302" s="49" t="s">
        <v>206</v>
      </c>
      <c r="B302" s="51">
        <f>0.94-(1995-1980)*(1.21-0.94)/20</f>
        <v>0.73749999999999993</v>
      </c>
      <c r="C302" s="130">
        <f>0.74+(C300-1990)*((0.94-0.74)/20)</f>
        <v>0.79</v>
      </c>
      <c r="D302" s="163">
        <f t="shared" ref="D302:J302" si="124">0.74+(D300-1990)*((0.94-0.74)/20)</f>
        <v>0.79999999999999993</v>
      </c>
      <c r="E302" s="163">
        <f t="shared" si="124"/>
        <v>0.80999999999999994</v>
      </c>
      <c r="F302" s="163">
        <f t="shared" si="124"/>
        <v>0.82</v>
      </c>
      <c r="G302" s="163">
        <f t="shared" si="124"/>
        <v>0.83</v>
      </c>
      <c r="H302" s="163">
        <f t="shared" si="124"/>
        <v>0.84</v>
      </c>
      <c r="I302" s="163">
        <f t="shared" si="124"/>
        <v>0.85</v>
      </c>
      <c r="J302" s="163">
        <f t="shared" si="124"/>
        <v>0.86</v>
      </c>
      <c r="K302" s="163">
        <f>0.74+(K300-1990)*((0.94-0.74)/20)</f>
        <v>0.87</v>
      </c>
      <c r="L302" s="163">
        <f>0.74+(L300-1990)*((0.94-0.74)/20)</f>
        <v>0.88</v>
      </c>
    </row>
    <row r="303" spans="1:12" x14ac:dyDescent="0.15">
      <c r="B303"/>
      <c r="C303" s="44"/>
      <c r="D303" s="2"/>
      <c r="E303" s="2">
        <v>227</v>
      </c>
      <c r="F303" s="2"/>
      <c r="G303" s="2"/>
      <c r="H303" s="2"/>
      <c r="I303" s="2"/>
      <c r="J303" s="2"/>
    </row>
    <row r="304" spans="1:12" x14ac:dyDescent="0.15">
      <c r="B304"/>
      <c r="C304" s="44"/>
      <c r="D304" s="2"/>
      <c r="E304" s="2"/>
      <c r="F304" s="2"/>
      <c r="G304" s="2"/>
      <c r="H304" s="2"/>
      <c r="I304" s="2"/>
      <c r="J304" s="2"/>
    </row>
    <row r="305" spans="1:12" s="43" customFormat="1" x14ac:dyDescent="0.15">
      <c r="A305" s="49" t="s">
        <v>205</v>
      </c>
      <c r="B305" s="44"/>
      <c r="C305" s="44">
        <v>2005</v>
      </c>
      <c r="D305" s="44">
        <v>2006</v>
      </c>
      <c r="E305" s="44">
        <v>2007</v>
      </c>
      <c r="F305" s="44">
        <v>2008</v>
      </c>
      <c r="G305" s="44">
        <v>2009</v>
      </c>
      <c r="H305" s="44">
        <v>2010</v>
      </c>
      <c r="I305" s="44">
        <v>2011</v>
      </c>
      <c r="J305" s="44">
        <v>2012</v>
      </c>
      <c r="K305" s="43">
        <v>2013</v>
      </c>
      <c r="L305" s="43">
        <v>2014</v>
      </c>
    </row>
    <row r="306" spans="1:12" s="43" customFormat="1" x14ac:dyDescent="0.15">
      <c r="A306" s="49" t="s">
        <v>207</v>
      </c>
      <c r="B306" s="44"/>
      <c r="C306" s="130">
        <f>0.94+(C305-1995)*((1.21-0.94)/20)</f>
        <v>1.075</v>
      </c>
      <c r="D306" s="46">
        <f t="shared" ref="D306:G306" si="125">0.94+(D305-1995)*((1.21-0.94)/20)</f>
        <v>1.0885</v>
      </c>
      <c r="E306" s="46">
        <f t="shared" si="125"/>
        <v>1.1019999999999999</v>
      </c>
      <c r="F306" s="46">
        <f>0.94+(F305-1995)*((1.21-0.94)/20)</f>
        <v>1.1154999999999999</v>
      </c>
      <c r="G306" s="46">
        <f t="shared" si="125"/>
        <v>1.129</v>
      </c>
      <c r="H306" s="46">
        <f>0.94+(H305-1995)*((1.21-0.94)/20)</f>
        <v>1.1425000000000001</v>
      </c>
      <c r="I306" s="46">
        <f>0.94+(I305-1995)*((1.21-0.94)/20)</f>
        <v>1.1559999999999999</v>
      </c>
      <c r="J306" s="46">
        <f>0.94+(J305-1995)*((1.21-0.94)/20)</f>
        <v>1.1695</v>
      </c>
      <c r="K306" s="44">
        <f>0.94+(((K305-1995)/(2*20)))</f>
        <v>1.39</v>
      </c>
      <c r="L306" s="44">
        <f>0.94+(((L305-1995)/(2*20)))</f>
        <v>1.415</v>
      </c>
    </row>
    <row r="307" spans="1:12" s="43" customFormat="1" x14ac:dyDescent="0.15">
      <c r="A307" s="49" t="s">
        <v>206</v>
      </c>
      <c r="B307" s="46"/>
      <c r="C307" s="130">
        <f>C301</f>
        <v>0.94</v>
      </c>
      <c r="D307" s="46">
        <f t="shared" ref="D307:L307" si="126">D301</f>
        <v>0.9534999999999999</v>
      </c>
      <c r="E307" s="46">
        <f t="shared" si="126"/>
        <v>0.96699999999999997</v>
      </c>
      <c r="F307" s="46">
        <f t="shared" si="126"/>
        <v>0.98049999999999993</v>
      </c>
      <c r="G307" s="46">
        <f t="shared" si="126"/>
        <v>0.99399999999999999</v>
      </c>
      <c r="H307" s="46">
        <f t="shared" si="126"/>
        <v>1.0074999999999998</v>
      </c>
      <c r="I307" s="46">
        <f t="shared" si="126"/>
        <v>1.0209999999999999</v>
      </c>
      <c r="J307" s="46">
        <f t="shared" si="126"/>
        <v>1.0345</v>
      </c>
      <c r="K307" s="46">
        <f t="shared" si="126"/>
        <v>1.048</v>
      </c>
      <c r="L307" s="46">
        <f t="shared" si="126"/>
        <v>1.165</v>
      </c>
    </row>
    <row r="308" spans="1:12" s="43" customFormat="1" x14ac:dyDescent="0.15">
      <c r="A308" s="49"/>
      <c r="C308" s="44"/>
      <c r="D308" s="44"/>
      <c r="E308" s="44"/>
      <c r="F308" s="44"/>
      <c r="G308" s="44"/>
      <c r="H308" s="44"/>
      <c r="I308" s="44"/>
      <c r="J308" s="44"/>
    </row>
    <row r="309" spans="1:12" s="43" customFormat="1" x14ac:dyDescent="0.15">
      <c r="A309" s="49" t="s">
        <v>205</v>
      </c>
      <c r="C309" s="44">
        <v>2015</v>
      </c>
      <c r="D309" s="44">
        <v>2016</v>
      </c>
      <c r="E309" s="44">
        <v>2017</v>
      </c>
      <c r="F309" s="44">
        <v>2018</v>
      </c>
      <c r="G309" s="44">
        <v>2019</v>
      </c>
      <c r="H309" s="44">
        <v>2020</v>
      </c>
      <c r="I309" s="44">
        <v>2021</v>
      </c>
      <c r="J309" s="44">
        <v>2025</v>
      </c>
      <c r="K309" s="44">
        <v>1950</v>
      </c>
    </row>
    <row r="310" spans="1:12" s="43" customFormat="1" x14ac:dyDescent="0.15">
      <c r="A310" s="49" t="s">
        <v>207</v>
      </c>
      <c r="C310" s="130">
        <f>0.94+(C309-1995)*((1.21-0.94)/20)</f>
        <v>1.21</v>
      </c>
      <c r="D310" s="46">
        <f t="shared" ref="D310:F310" si="127">0.94+(D309-1995)*((1.21-0.94)/20)</f>
        <v>1.2235</v>
      </c>
      <c r="E310" s="46">
        <f t="shared" si="127"/>
        <v>1.2370000000000001</v>
      </c>
      <c r="F310" s="46">
        <f t="shared" si="127"/>
        <v>1.2504999999999999</v>
      </c>
      <c r="G310" s="46">
        <f>0.94+(G309-1995)*((1.21-0.94)/20)</f>
        <v>1.264</v>
      </c>
      <c r="H310" s="46">
        <f>0.94+(H309-1995)*((1.21-0.94)/20)</f>
        <v>1.2774999999999999</v>
      </c>
      <c r="I310" s="46">
        <f>H310+(J310-H310)/5</f>
        <v>1.3219999999999998</v>
      </c>
      <c r="J310" s="46">
        <v>1.5</v>
      </c>
      <c r="K310" s="44">
        <v>0.2</v>
      </c>
    </row>
    <row r="311" spans="1:12" s="43" customFormat="1" x14ac:dyDescent="0.15">
      <c r="A311" s="49" t="s">
        <v>206</v>
      </c>
      <c r="B311" s="44"/>
      <c r="C311" s="130">
        <v>1.08</v>
      </c>
      <c r="D311" s="46">
        <v>1.0900000000000001</v>
      </c>
      <c r="E311" s="46">
        <v>1.1000000000000001</v>
      </c>
      <c r="F311" s="46">
        <v>1.1200000000000001</v>
      </c>
      <c r="G311" s="46">
        <v>1.1299999999999999</v>
      </c>
      <c r="H311" s="46">
        <v>1.1399999999999999</v>
      </c>
      <c r="I311" s="46">
        <v>1.1599999999999999</v>
      </c>
      <c r="J311" s="46">
        <v>1.17</v>
      </c>
      <c r="K311" s="163">
        <v>0.1</v>
      </c>
    </row>
    <row r="313" spans="1:12" x14ac:dyDescent="0.15">
      <c r="A313" t="s">
        <v>182</v>
      </c>
      <c r="B313"/>
    </row>
    <row r="314" spans="1:12" x14ac:dyDescent="0.15">
      <c r="A314" s="37" t="s">
        <v>293</v>
      </c>
      <c r="B314" s="26" t="s">
        <v>237</v>
      </c>
      <c r="C314" s="176" t="s">
        <v>346</v>
      </c>
      <c r="D314" s="2"/>
      <c r="E314" s="2"/>
    </row>
    <row r="315" spans="1:12" x14ac:dyDescent="0.15">
      <c r="A315" s="37">
        <v>1950</v>
      </c>
      <c r="B315" s="173">
        <f>B316*0.04/0.69</f>
        <v>9.729468599033817</v>
      </c>
      <c r="C315" s="44">
        <v>0.04</v>
      </c>
      <c r="D315" s="2"/>
      <c r="E315" s="2"/>
    </row>
    <row r="316" spans="1:12" x14ac:dyDescent="0.15">
      <c r="A316" s="37">
        <v>1990</v>
      </c>
      <c r="B316" s="54">
        <f>227-12.5*((298-227)/15)</f>
        <v>167.83333333333334</v>
      </c>
      <c r="C316" s="143"/>
    </row>
    <row r="317" spans="1:12" x14ac:dyDescent="0.15">
      <c r="A317" s="37">
        <v>2004</v>
      </c>
      <c r="B317" s="54">
        <f>227+(A317-1995)*(298-227)/15</f>
        <v>269.60000000000002</v>
      </c>
      <c r="C317" s="143"/>
    </row>
    <row r="318" spans="1:12" x14ac:dyDescent="0.15">
      <c r="A318" s="37">
        <v>2015</v>
      </c>
      <c r="B318" s="54">
        <f>298+(A318-2017)*(298-227)/15</f>
        <v>288.53333333333336</v>
      </c>
    </row>
    <row r="319" spans="1:12" x14ac:dyDescent="0.15">
      <c r="A319" s="37">
        <v>2016</v>
      </c>
      <c r="B319" s="54">
        <f>298+(A319-2017)*(298-227)/15</f>
        <v>293.26666666666665</v>
      </c>
    </row>
    <row r="320" spans="1:12" x14ac:dyDescent="0.15">
      <c r="A320" s="37">
        <v>2017</v>
      </c>
      <c r="B320" s="54">
        <f>298+(A320-2017)*(298-227)/15</f>
        <v>298</v>
      </c>
    </row>
    <row r="321" spans="1:10" x14ac:dyDescent="0.15">
      <c r="A321" s="37">
        <v>2018</v>
      </c>
      <c r="B321" s="54">
        <f>298+(A321-2017)*(298-227)/15</f>
        <v>302.73333333333335</v>
      </c>
    </row>
    <row r="322" spans="1:10" x14ac:dyDescent="0.15">
      <c r="A322" s="37">
        <v>2019</v>
      </c>
      <c r="B322" s="54">
        <f>298+(A322-2017)*(298-227)/15</f>
        <v>307.46666666666664</v>
      </c>
    </row>
    <row r="323" spans="1:10" x14ac:dyDescent="0.15">
      <c r="A323" s="37" t="s">
        <v>292</v>
      </c>
      <c r="B323" s="54"/>
    </row>
    <row r="324" spans="1:10" x14ac:dyDescent="0.15">
      <c r="A324" s="37">
        <v>2020</v>
      </c>
      <c r="B324" s="54">
        <f>298+(A324-2017)*(298-227)/15</f>
        <v>312.2</v>
      </c>
    </row>
    <row r="325" spans="1:10" x14ac:dyDescent="0.15">
      <c r="A325" s="37">
        <v>2021</v>
      </c>
      <c r="B325" s="54">
        <f>298+(A325-2017)*(298-227)/15</f>
        <v>316.93333333333334</v>
      </c>
    </row>
    <row r="326" spans="1:10" x14ac:dyDescent="0.15">
      <c r="A326" s="37">
        <v>2025</v>
      </c>
      <c r="B326" s="54">
        <f>298+(A326-2017)*(298-227)/15</f>
        <v>335.86666666666667</v>
      </c>
    </row>
    <row r="329" spans="1:10" x14ac:dyDescent="0.15">
      <c r="A329" s="71" t="s">
        <v>267</v>
      </c>
    </row>
    <row r="330" spans="1:10" x14ac:dyDescent="0.15">
      <c r="D330" s="27" t="s">
        <v>240</v>
      </c>
      <c r="E330" s="2">
        <v>2015</v>
      </c>
      <c r="F330" s="2">
        <v>2016</v>
      </c>
      <c r="G330" s="2">
        <v>2017</v>
      </c>
      <c r="H330" s="2">
        <v>2018</v>
      </c>
      <c r="I330" s="2">
        <v>2019</v>
      </c>
      <c r="J330" s="69" t="s">
        <v>236</v>
      </c>
    </row>
    <row r="331" spans="1:10" x14ac:dyDescent="0.15">
      <c r="A331" s="27" t="s">
        <v>111</v>
      </c>
      <c r="B331" s="26" t="s">
        <v>235</v>
      </c>
      <c r="C331" s="45" t="s">
        <v>233</v>
      </c>
      <c r="D331" s="27"/>
      <c r="E331" s="2">
        <v>0.56000000000000005</v>
      </c>
      <c r="F331" s="2">
        <v>0.57999999999999996</v>
      </c>
      <c r="G331" s="2">
        <v>0.59</v>
      </c>
      <c r="H331" s="2">
        <v>0.61</v>
      </c>
      <c r="I331" s="2">
        <v>0.63</v>
      </c>
    </row>
    <row r="332" spans="1:10" x14ac:dyDescent="0.15">
      <c r="A332" s="27" t="s">
        <v>96</v>
      </c>
      <c r="C332" s="45" t="s">
        <v>234</v>
      </c>
      <c r="D332" s="27"/>
      <c r="E332" s="2">
        <v>28.66</v>
      </c>
      <c r="F332" s="2">
        <v>29.23</v>
      </c>
      <c r="G332" s="2">
        <v>30.28</v>
      </c>
      <c r="H332" s="2">
        <v>32.01</v>
      </c>
      <c r="I332" s="2">
        <v>32.43</v>
      </c>
    </row>
    <row r="333" spans="1:10" x14ac:dyDescent="0.15">
      <c r="C333" s="45" t="s">
        <v>238</v>
      </c>
      <c r="D333" s="27"/>
      <c r="E333" s="2">
        <v>103.55</v>
      </c>
      <c r="F333" s="2">
        <v>106.32</v>
      </c>
      <c r="G333" s="2">
        <v>109.29</v>
      </c>
      <c r="H333" s="2">
        <v>112.79</v>
      </c>
      <c r="I333" s="2">
        <v>114.02</v>
      </c>
    </row>
    <row r="334" spans="1:10" x14ac:dyDescent="0.15">
      <c r="C334" s="45" t="s">
        <v>239</v>
      </c>
      <c r="E334" s="2">
        <v>17.399999999999999</v>
      </c>
      <c r="F334" s="2">
        <v>17.829999999999998</v>
      </c>
      <c r="G334" s="2">
        <v>18.36</v>
      </c>
      <c r="H334" s="2">
        <v>19.12</v>
      </c>
      <c r="I334" s="2">
        <v>19.399999999999999</v>
      </c>
      <c r="J334" s="27" t="s">
        <v>241</v>
      </c>
    </row>
    <row r="336" spans="1:10" x14ac:dyDescent="0.15">
      <c r="A336" s="27" t="s">
        <v>269</v>
      </c>
      <c r="E336" s="2">
        <v>1990</v>
      </c>
      <c r="F336" s="2">
        <v>2020</v>
      </c>
      <c r="G336" s="2">
        <v>2021</v>
      </c>
      <c r="H336" s="2">
        <v>2025</v>
      </c>
    </row>
    <row r="337" spans="1:9" x14ac:dyDescent="0.15">
      <c r="E337" s="3">
        <f>E331*C7/75190</f>
        <v>0.26782284878308288</v>
      </c>
      <c r="F337" s="3">
        <f>F331*D7/75190</f>
        <v>0.57999999999999996</v>
      </c>
      <c r="G337" s="3">
        <f>G331*E7/75190</f>
        <v>0.60655672296847984</v>
      </c>
      <c r="H337" s="3">
        <f>H331*F7/75190</f>
        <v>0.64829232610719512</v>
      </c>
    </row>
    <row r="338" spans="1:9" x14ac:dyDescent="0.15">
      <c r="E338" s="3">
        <f>E332*C7/75190</f>
        <v>13.706790796648491</v>
      </c>
      <c r="F338" s="3">
        <f>F332*D7/75190</f>
        <v>29.230000000000004</v>
      </c>
      <c r="G338" s="3">
        <f>G332*E7/75190</f>
        <v>31.129724697433169</v>
      </c>
      <c r="H338" s="3">
        <f>H332*F7/75190</f>
        <v>34.019405506051335</v>
      </c>
    </row>
    <row r="339" spans="1:9" x14ac:dyDescent="0.15">
      <c r="E339" s="3">
        <f>E333*C7/75190</f>
        <v>49.523314270514696</v>
      </c>
      <c r="F339" s="3">
        <f>F333*D7/75190</f>
        <v>106.32</v>
      </c>
      <c r="G339" s="3">
        <f>G333*E7/75190</f>
        <v>112.3569224630935</v>
      </c>
      <c r="H339" s="3">
        <f>H333*F7/75190</f>
        <v>119.87031387152547</v>
      </c>
    </row>
    <row r="340" spans="1:9" x14ac:dyDescent="0.15">
      <c r="E340" s="3">
        <f>17.4*C7/75190</f>
        <v>8.3216385157600747</v>
      </c>
      <c r="F340" s="3">
        <f>17.4*I7/75190</f>
        <v>18.985184200026595</v>
      </c>
      <c r="G340" s="3">
        <f>17.4*J7/75190</f>
        <v>20.100598483840933</v>
      </c>
      <c r="H340" s="3">
        <f>17.4*K7/75190</f>
        <v>22.657720441548076</v>
      </c>
    </row>
    <row r="341" spans="1:9" x14ac:dyDescent="0.15">
      <c r="E341" s="3"/>
      <c r="F341" s="3"/>
      <c r="G341" s="3"/>
      <c r="H341" s="3"/>
    </row>
    <row r="342" spans="1:9" x14ac:dyDescent="0.15">
      <c r="E342" s="3"/>
      <c r="F342" s="3"/>
      <c r="G342" s="3"/>
      <c r="H342" s="3"/>
    </row>
    <row r="343" spans="1:9" x14ac:dyDescent="0.15">
      <c r="A343" s="27" t="s">
        <v>89</v>
      </c>
      <c r="B343" s="26" t="s">
        <v>235</v>
      </c>
      <c r="C343" s="45" t="s">
        <v>112</v>
      </c>
      <c r="E343" s="2">
        <v>2015</v>
      </c>
      <c r="F343" s="2">
        <v>2016</v>
      </c>
      <c r="G343" s="2">
        <v>2017</v>
      </c>
      <c r="H343" s="2">
        <v>2018</v>
      </c>
      <c r="I343" s="2">
        <v>2019</v>
      </c>
    </row>
    <row r="344" spans="1:9" x14ac:dyDescent="0.15">
      <c r="D344" s="231" t="s">
        <v>357</v>
      </c>
      <c r="E344" s="3">
        <f>E334*0.495</f>
        <v>8.6129999999999995</v>
      </c>
      <c r="F344" s="3">
        <f>F334*0.495</f>
        <v>8.8258499999999991</v>
      </c>
      <c r="G344" s="3">
        <f>G334*0.495</f>
        <v>9.0882000000000005</v>
      </c>
      <c r="H344" s="3">
        <f>H334*0.495</f>
        <v>9.4644000000000013</v>
      </c>
      <c r="I344" s="3">
        <f>I334*0.495</f>
        <v>9.6029999999999998</v>
      </c>
    </row>
    <row r="345" spans="1:9" s="43" customFormat="1" x14ac:dyDescent="0.15">
      <c r="B345" s="44"/>
      <c r="D345" s="230" t="s">
        <v>358</v>
      </c>
      <c r="E345" s="46">
        <f>E344/1.258</f>
        <v>6.8465818759936399</v>
      </c>
      <c r="F345" s="46">
        <f>F344/1.258</f>
        <v>7.0157790143084249</v>
      </c>
      <c r="G345" s="46">
        <f>G344/1.258</f>
        <v>7.2243243243243249</v>
      </c>
      <c r="H345" s="46">
        <f>H344/1.258</f>
        <v>7.5233704292527834</v>
      </c>
      <c r="I345" s="46">
        <f>I344/1.258</f>
        <v>7.6335453100158981</v>
      </c>
    </row>
    <row r="346" spans="1:9" x14ac:dyDescent="0.15">
      <c r="D346" s="27"/>
      <c r="E346" s="3"/>
      <c r="F346" s="3"/>
      <c r="G346" s="3"/>
      <c r="H346" s="3"/>
      <c r="I346" s="3"/>
    </row>
    <row r="347" spans="1:9" x14ac:dyDescent="0.15">
      <c r="E347" s="2">
        <v>1990</v>
      </c>
      <c r="F347" s="2">
        <v>2020</v>
      </c>
      <c r="G347" s="2">
        <v>2021</v>
      </c>
      <c r="H347" s="2">
        <v>2025</v>
      </c>
    </row>
    <row r="348" spans="1:9" s="43" customFormat="1" x14ac:dyDescent="0.15">
      <c r="B348" s="44"/>
      <c r="D348" s="230" t="s">
        <v>357</v>
      </c>
      <c r="E348" s="46">
        <f>E340*0.495</f>
        <v>4.1192110653012373</v>
      </c>
      <c r="F348" s="46">
        <f>F340*0.495</f>
        <v>9.3976661790131644</v>
      </c>
      <c r="G348" s="46">
        <f>G340*0.495</f>
        <v>9.9497962495012615</v>
      </c>
      <c r="H348" s="46">
        <f>H340*0.495</f>
        <v>11.215571618566297</v>
      </c>
    </row>
    <row r="349" spans="1:9" s="43" customFormat="1" x14ac:dyDescent="0.15">
      <c r="B349" s="44"/>
      <c r="D349" s="230" t="s">
        <v>358</v>
      </c>
      <c r="E349" s="46">
        <f>E348/1.258</f>
        <v>3.2744126115272154</v>
      </c>
      <c r="F349" s="46">
        <f>F348/1.258</f>
        <v>7.4703228767990177</v>
      </c>
      <c r="G349" s="46">
        <f>G348/1.258</f>
        <v>7.909218004373022</v>
      </c>
      <c r="H349" s="46">
        <f>H348/1.258</f>
        <v>8.9153987428984873</v>
      </c>
      <c r="I349" s="46"/>
    </row>
    <row r="350" spans="1:9" x14ac:dyDescent="0.15">
      <c r="E350" s="3"/>
      <c r="F350" s="3"/>
      <c r="G350" s="3"/>
      <c r="H350" s="3"/>
      <c r="I350" s="3"/>
    </row>
    <row r="351" spans="1:9" x14ac:dyDescent="0.15">
      <c r="E351" s="3"/>
      <c r="F351" s="3"/>
      <c r="G351" s="3"/>
      <c r="H351" s="3"/>
      <c r="I351" s="3"/>
    </row>
    <row r="352" spans="1:9" x14ac:dyDescent="0.15">
      <c r="A352" s="27" t="s">
        <v>19</v>
      </c>
      <c r="E352" s="26" t="s">
        <v>113</v>
      </c>
      <c r="F352" s="2">
        <v>2000</v>
      </c>
      <c r="G352" s="26" t="s">
        <v>114</v>
      </c>
      <c r="H352" s="26" t="s">
        <v>115</v>
      </c>
      <c r="I352" s="26" t="s">
        <v>270</v>
      </c>
    </row>
    <row r="353" spans="1:13" x14ac:dyDescent="0.15">
      <c r="E353" s="5">
        <f>-11*14397+10*7200</f>
        <v>-86367</v>
      </c>
      <c r="F353" s="5">
        <f>C66+10*(D66-C66)/25</f>
        <v>125084.21263879069</v>
      </c>
      <c r="G353" s="5">
        <f>F353+15*(D66-F353)/2</f>
        <v>879563.38019890909</v>
      </c>
      <c r="H353" s="5">
        <f>E353+G353</f>
        <v>793196.38019890909</v>
      </c>
      <c r="I353" s="34">
        <f>K66+4*J66+(K66-J66)*2</f>
        <v>1665405.4977052365</v>
      </c>
    </row>
    <row r="356" spans="1:13" x14ac:dyDescent="0.15">
      <c r="A356" t="s">
        <v>164</v>
      </c>
      <c r="B356" t="s">
        <v>165</v>
      </c>
      <c r="C356" s="43" t="s">
        <v>166</v>
      </c>
      <c r="D356" t="s">
        <v>167</v>
      </c>
      <c r="E356" t="s">
        <v>168</v>
      </c>
      <c r="F356" t="s">
        <v>247</v>
      </c>
      <c r="G356" t="s">
        <v>248</v>
      </c>
      <c r="H356" t="s">
        <v>86</v>
      </c>
      <c r="I356" t="s">
        <v>87</v>
      </c>
      <c r="J356" t="s">
        <v>88</v>
      </c>
      <c r="K356" t="s">
        <v>30</v>
      </c>
      <c r="L356" t="s">
        <v>31</v>
      </c>
      <c r="M356" t="s">
        <v>32</v>
      </c>
    </row>
    <row r="357" spans="1:13" x14ac:dyDescent="0.15">
      <c r="A357" s="40" t="s">
        <v>183</v>
      </c>
      <c r="B357" t="s">
        <v>163</v>
      </c>
      <c r="C357" s="157">
        <v>10903082068832.199</v>
      </c>
      <c r="D357">
        <v>11316306562224.176</v>
      </c>
      <c r="E357">
        <v>11917885657281.686</v>
      </c>
      <c r="F357">
        <v>12535875240448.213</v>
      </c>
      <c r="G357">
        <v>13358013610079.584</v>
      </c>
      <c r="H357">
        <v>14099267223911.906</v>
      </c>
      <c r="I357">
        <v>14904706650013.92</v>
      </c>
      <c r="J357">
        <v>15523636743005.422</v>
      </c>
      <c r="K357">
        <v>16446095593850.041</v>
      </c>
      <c r="L357">
        <v>17402419697235.139</v>
      </c>
      <c r="M357">
        <v>18093044833148.586</v>
      </c>
    </row>
    <row r="358" spans="1:13" x14ac:dyDescent="0.15">
      <c r="B358"/>
    </row>
    <row r="359" spans="1:13" x14ac:dyDescent="0.15">
      <c r="B359"/>
      <c r="C359" s="43" t="s">
        <v>33</v>
      </c>
      <c r="D359" t="s">
        <v>34</v>
      </c>
      <c r="E359" t="s">
        <v>35</v>
      </c>
      <c r="F359" t="s">
        <v>36</v>
      </c>
      <c r="G359" t="s">
        <v>263</v>
      </c>
      <c r="H359" t="s">
        <v>264</v>
      </c>
      <c r="I359" t="s">
        <v>265</v>
      </c>
      <c r="J359" t="s">
        <v>251</v>
      </c>
      <c r="K359" t="s">
        <v>252</v>
      </c>
      <c r="L359" t="s">
        <v>253</v>
      </c>
    </row>
    <row r="360" spans="1:13" x14ac:dyDescent="0.15">
      <c r="B360"/>
      <c r="C360" s="43">
        <v>18866751596328.996</v>
      </c>
      <c r="D360">
        <v>19926322025887.516</v>
      </c>
      <c r="E360">
        <v>21203087861463.633</v>
      </c>
      <c r="F360">
        <v>21583766769272.574</v>
      </c>
      <c r="G360">
        <v>21720580194363.602</v>
      </c>
      <c r="H360">
        <v>22872464873117.102</v>
      </c>
      <c r="I360">
        <v>23810116684605.762</v>
      </c>
      <c r="J360">
        <v>24795154145632.348</v>
      </c>
      <c r="K360">
        <v>25830552072835.191</v>
      </c>
      <c r="L360">
        <v>26315435011122.891</v>
      </c>
    </row>
    <row r="361" spans="1:13" x14ac:dyDescent="0.15">
      <c r="B361"/>
    </row>
    <row r="362" spans="1:13" x14ac:dyDescent="0.15">
      <c r="B362"/>
      <c r="C362" s="43" t="s">
        <v>254</v>
      </c>
      <c r="D362" t="s">
        <v>255</v>
      </c>
      <c r="E362" t="s">
        <v>256</v>
      </c>
      <c r="F362" t="s">
        <v>257</v>
      </c>
      <c r="G362" t="s">
        <v>258</v>
      </c>
      <c r="H362" t="s">
        <v>259</v>
      </c>
      <c r="I362" t="s">
        <v>260</v>
      </c>
      <c r="J362" t="s">
        <v>261</v>
      </c>
      <c r="K362" t="s">
        <v>262</v>
      </c>
      <c r="L362" t="s">
        <v>130</v>
      </c>
    </row>
    <row r="363" spans="1:13" x14ac:dyDescent="0.15">
      <c r="B363"/>
      <c r="C363" s="43">
        <v>26823887020372.52</v>
      </c>
      <c r="D363">
        <v>26929495354884.688</v>
      </c>
      <c r="E363">
        <v>27642888203207.816</v>
      </c>
      <c r="F363">
        <v>28935052865661.594</v>
      </c>
      <c r="G363">
        <v>30005246664938.398</v>
      </c>
      <c r="H363">
        <v>31038287215028.879</v>
      </c>
      <c r="I363">
        <v>32196690950958.141</v>
      </c>
      <c r="J363">
        <v>33690063638077.645</v>
      </c>
      <c r="K363">
        <v>34954866035574.16</v>
      </c>
      <c r="L363">
        <v>35956650729980.922</v>
      </c>
    </row>
    <row r="364" spans="1:13" x14ac:dyDescent="0.15">
      <c r="B364"/>
    </row>
    <row r="365" spans="1:13" x14ac:dyDescent="0.15">
      <c r="B365"/>
      <c r="C365" s="43" t="s">
        <v>131</v>
      </c>
      <c r="D365" t="s">
        <v>132</v>
      </c>
      <c r="E365" t="s">
        <v>133</v>
      </c>
      <c r="F365" t="s">
        <v>134</v>
      </c>
      <c r="G365" t="s">
        <v>135</v>
      </c>
      <c r="H365" t="s">
        <v>136</v>
      </c>
      <c r="I365" t="s">
        <v>137</v>
      </c>
      <c r="J365" t="s">
        <v>138</v>
      </c>
      <c r="K365" t="s">
        <v>139</v>
      </c>
      <c r="L365" t="s">
        <v>140</v>
      </c>
    </row>
    <row r="366" spans="1:13" x14ac:dyDescent="0.15">
      <c r="B366"/>
      <c r="C366" s="43">
        <v>36481547689207.445</v>
      </c>
      <c r="D366">
        <v>37236630426229.969</v>
      </c>
      <c r="E366">
        <v>37909928686981.102</v>
      </c>
      <c r="F366">
        <v>39162999047803.297</v>
      </c>
      <c r="G366">
        <v>40373943744120.641</v>
      </c>
      <c r="H366">
        <v>41824663031510.391</v>
      </c>
      <c r="I366">
        <v>43446512586732.086</v>
      </c>
      <c r="J366">
        <v>44671345967005.32</v>
      </c>
      <c r="K366">
        <v>46258447357121</v>
      </c>
      <c r="L366">
        <v>48346996211394.203</v>
      </c>
    </row>
    <row r="367" spans="1:13" x14ac:dyDescent="0.15">
      <c r="B367"/>
    </row>
    <row r="368" spans="1:13" x14ac:dyDescent="0.15">
      <c r="B368"/>
      <c r="C368" s="43" t="s">
        <v>141</v>
      </c>
      <c r="D368" t="s">
        <v>142</v>
      </c>
      <c r="E368" t="s">
        <v>143</v>
      </c>
      <c r="F368" t="s">
        <v>144</v>
      </c>
      <c r="G368" t="s">
        <v>145</v>
      </c>
      <c r="H368" t="s">
        <v>146</v>
      </c>
      <c r="I368" t="s">
        <v>147</v>
      </c>
      <c r="J368" t="s">
        <v>148</v>
      </c>
      <c r="K368" t="s">
        <v>149</v>
      </c>
      <c r="L368" t="s">
        <v>150</v>
      </c>
    </row>
    <row r="369" spans="1:13" x14ac:dyDescent="0.15">
      <c r="B369"/>
      <c r="C369" s="43">
        <v>49318385609145.523</v>
      </c>
      <c r="D369">
        <v>50455089407956.242</v>
      </c>
      <c r="E369">
        <v>52024054256755.039</v>
      </c>
      <c r="F369">
        <v>54350174931372.406</v>
      </c>
      <c r="G369">
        <v>56526680484422.367</v>
      </c>
      <c r="H369">
        <v>59025400226394.281</v>
      </c>
      <c r="I369">
        <v>61611834694089.039</v>
      </c>
      <c r="J369">
        <v>62886691849429.297</v>
      </c>
      <c r="K369">
        <v>62043099488000.891</v>
      </c>
      <c r="L369">
        <v>64860376304301.617</v>
      </c>
    </row>
    <row r="370" spans="1:13" x14ac:dyDescent="0.15">
      <c r="B370"/>
    </row>
    <row r="371" spans="1:13" x14ac:dyDescent="0.15">
      <c r="B371"/>
      <c r="C371" s="43" t="s">
        <v>151</v>
      </c>
      <c r="D371" t="s">
        <v>152</v>
      </c>
      <c r="E371" t="s">
        <v>153</v>
      </c>
      <c r="F371" t="s">
        <v>154</v>
      </c>
      <c r="G371" t="s">
        <v>155</v>
      </c>
      <c r="H371" t="s">
        <v>156</v>
      </c>
      <c r="I371" t="s">
        <v>157</v>
      </c>
      <c r="J371" t="s">
        <v>158</v>
      </c>
      <c r="K371" t="s">
        <v>159</v>
      </c>
      <c r="L371" t="s">
        <v>160</v>
      </c>
      <c r="M371" t="s">
        <v>161</v>
      </c>
    </row>
    <row r="372" spans="1:13" x14ac:dyDescent="0.15">
      <c r="B372"/>
      <c r="C372" s="43">
        <v>67007464702463.5</v>
      </c>
      <c r="D372">
        <v>68822296672323.984</v>
      </c>
      <c r="E372">
        <v>70754752525925.859</v>
      </c>
      <c r="F372">
        <v>72941532558813.219</v>
      </c>
      <c r="G372">
        <v>75186364779691.688</v>
      </c>
      <c r="H372">
        <v>77295536289686.047</v>
      </c>
      <c r="I372">
        <v>79912950064136.297</v>
      </c>
      <c r="J372">
        <v>82539580063577.734</v>
      </c>
      <c r="K372">
        <v>84678527134453.484</v>
      </c>
      <c r="L372">
        <v>82041009500794.297</v>
      </c>
      <c r="M372">
        <v>86860283231171.312</v>
      </c>
    </row>
    <row r="373" spans="1:13" x14ac:dyDescent="0.15">
      <c r="A373" s="97"/>
      <c r="B373"/>
    </row>
    <row r="374" spans="1:13" x14ac:dyDescent="0.15">
      <c r="A374" s="69"/>
      <c r="B374" s="69"/>
      <c r="C374" s="156">
        <v>2008</v>
      </c>
      <c r="D374" s="1">
        <v>2010</v>
      </c>
      <c r="E374" s="1">
        <v>2012</v>
      </c>
      <c r="F374" s="1">
        <v>2014</v>
      </c>
    </row>
    <row r="375" spans="1:13" x14ac:dyDescent="0.15">
      <c r="A375" t="s">
        <v>268</v>
      </c>
      <c r="B375"/>
      <c r="C375" s="43">
        <v>64140</v>
      </c>
      <c r="D375">
        <v>66620</v>
      </c>
      <c r="E375">
        <v>75530</v>
      </c>
      <c r="F375">
        <v>79760</v>
      </c>
    </row>
    <row r="376" spans="1:13" x14ac:dyDescent="0.15">
      <c r="A376" s="69" t="s">
        <v>103</v>
      </c>
      <c r="B376"/>
      <c r="C376" s="43">
        <v>62886</v>
      </c>
      <c r="D376">
        <v>64860</v>
      </c>
      <c r="E376">
        <v>68820</v>
      </c>
      <c r="F376">
        <v>72941</v>
      </c>
    </row>
    <row r="377" spans="1:13" x14ac:dyDescent="0.15">
      <c r="B377"/>
    </row>
    <row r="378" spans="1:13" x14ac:dyDescent="0.15">
      <c r="A378" s="169" t="s">
        <v>44</v>
      </c>
      <c r="B378"/>
    </row>
    <row r="379" spans="1:13" x14ac:dyDescent="0.15">
      <c r="A379" s="94" t="s">
        <v>285</v>
      </c>
      <c r="B379" s="129">
        <f>8408*G372/C372</f>
        <v>9434.2765820896129</v>
      </c>
      <c r="C379" s="162" t="s">
        <v>47</v>
      </c>
      <c r="D379" s="5"/>
      <c r="E379" s="5"/>
      <c r="F379" s="5"/>
      <c r="G379" s="5"/>
      <c r="H379" s="5"/>
      <c r="I379" s="5"/>
      <c r="J379" s="2"/>
    </row>
    <row r="380" spans="1:13" x14ac:dyDescent="0.15">
      <c r="A380" s="61" t="s">
        <v>201</v>
      </c>
      <c r="B380" s="129">
        <f>6000/0.7</f>
        <v>8571.4285714285725</v>
      </c>
      <c r="C380" s="162" t="s">
        <v>47</v>
      </c>
      <c r="D380" s="128"/>
      <c r="E380" s="128"/>
      <c r="F380" s="128"/>
      <c r="G380" s="128"/>
      <c r="H380" s="128"/>
      <c r="I380" s="128"/>
      <c r="J380" s="2"/>
    </row>
    <row r="381" spans="1:13" x14ac:dyDescent="0.15">
      <c r="A381" s="61" t="s">
        <v>124</v>
      </c>
      <c r="B381" s="129">
        <v>2499</v>
      </c>
      <c r="C381" s="162" t="s">
        <v>47</v>
      </c>
      <c r="D381" s="128"/>
      <c r="E381" s="128"/>
      <c r="F381" s="128"/>
      <c r="G381" s="128"/>
      <c r="H381" s="128"/>
      <c r="I381" s="128"/>
      <c r="J381" s="2"/>
    </row>
    <row r="382" spans="1:13" x14ac:dyDescent="0.15">
      <c r="A382" s="69" t="s">
        <v>45</v>
      </c>
      <c r="B382" s="129">
        <v>38.4</v>
      </c>
      <c r="C382" s="170" t="s">
        <v>46</v>
      </c>
      <c r="D382" s="128"/>
      <c r="E382" s="128"/>
      <c r="F382" s="128"/>
      <c r="G382" s="128"/>
      <c r="H382" s="128"/>
      <c r="I382" s="128"/>
      <c r="J382" s="2"/>
    </row>
    <row r="383" spans="1:13" x14ac:dyDescent="0.15">
      <c r="A383" s="69"/>
      <c r="B383" s="129"/>
      <c r="C383" s="162"/>
      <c r="D383" s="128"/>
      <c r="E383" s="128"/>
      <c r="F383" s="128"/>
      <c r="G383" s="128"/>
      <c r="H383" s="128"/>
      <c r="I383" s="128"/>
      <c r="J383" s="2"/>
    </row>
    <row r="384" spans="1:13" x14ac:dyDescent="0.15">
      <c r="A384" s="69"/>
      <c r="B384" s="129"/>
      <c r="C384" s="162"/>
      <c r="D384" s="128"/>
      <c r="E384" s="128"/>
      <c r="F384" s="128"/>
      <c r="G384" s="128"/>
      <c r="H384" s="128"/>
      <c r="I384" s="128"/>
      <c r="J384" s="2"/>
    </row>
    <row r="386" spans="1:253" x14ac:dyDescent="0.15">
      <c r="A386" s="40" t="s">
        <v>170</v>
      </c>
    </row>
    <row r="387" spans="1:253" x14ac:dyDescent="0.15">
      <c r="A387" s="40"/>
    </row>
    <row r="388" spans="1:253" x14ac:dyDescent="0.15">
      <c r="A388" s="127" t="s">
        <v>41</v>
      </c>
      <c r="C388" s="153" t="s">
        <v>26</v>
      </c>
      <c r="D388" s="113" t="s">
        <v>56</v>
      </c>
      <c r="E388" s="113" t="s">
        <v>57</v>
      </c>
      <c r="F388" s="113" t="s">
        <v>65</v>
      </c>
      <c r="G388" s="113" t="s">
        <v>58</v>
      </c>
    </row>
    <row r="389" spans="1:253" ht="16" x14ac:dyDescent="0.2">
      <c r="A389" t="s">
        <v>55</v>
      </c>
      <c r="B389" s="55" t="s">
        <v>92</v>
      </c>
      <c r="C389" s="154">
        <v>66988403</v>
      </c>
      <c r="D389" s="117">
        <v>26715053</v>
      </c>
      <c r="E389" s="117">
        <v>93703456</v>
      </c>
      <c r="F389" s="113">
        <v>22040</v>
      </c>
      <c r="G389" s="120">
        <v>687</v>
      </c>
      <c r="H389" s="55" t="s">
        <v>92</v>
      </c>
      <c r="I389" s="115"/>
      <c r="J389" s="116"/>
      <c r="K389" s="116">
        <v>164634</v>
      </c>
    </row>
    <row r="390" spans="1:253" ht="16" x14ac:dyDescent="0.2">
      <c r="B390" s="55" t="s">
        <v>27</v>
      </c>
      <c r="C390" s="154">
        <v>12262544</v>
      </c>
      <c r="D390" s="117">
        <v>5785669</v>
      </c>
      <c r="E390" s="117">
        <v>18048213</v>
      </c>
      <c r="F390" s="113">
        <v>24060</v>
      </c>
      <c r="G390" s="121">
        <v>151.69999999999999</v>
      </c>
      <c r="H390" s="55" t="s">
        <v>27</v>
      </c>
    </row>
    <row r="391" spans="1:253" s="43" customFormat="1" ht="16" x14ac:dyDescent="0.2">
      <c r="B391" s="114" t="s">
        <v>171</v>
      </c>
      <c r="C391" s="154">
        <v>1249674</v>
      </c>
      <c r="D391" s="118">
        <v>422744</v>
      </c>
      <c r="E391" s="118">
        <v>1672418</v>
      </c>
      <c r="F391" s="119">
        <v>22220</v>
      </c>
      <c r="G391" s="122">
        <v>13</v>
      </c>
      <c r="H391" s="114" t="s">
        <v>171</v>
      </c>
    </row>
    <row r="392" spans="1:253" s="43" customFormat="1" ht="16" x14ac:dyDescent="0.2">
      <c r="B392" s="114" t="s">
        <v>172</v>
      </c>
      <c r="C392" s="154">
        <v>212398</v>
      </c>
      <c r="D392" s="118">
        <v>92258</v>
      </c>
      <c r="E392" s="118">
        <v>304656</v>
      </c>
      <c r="F392" s="119">
        <v>22100</v>
      </c>
      <c r="G392" s="122">
        <v>2.35</v>
      </c>
      <c r="H392" s="114" t="s">
        <v>172</v>
      </c>
    </row>
    <row r="393" spans="1:253" s="43" customFormat="1" ht="16" x14ac:dyDescent="0.2">
      <c r="B393" s="114" t="s">
        <v>173</v>
      </c>
      <c r="C393" s="154">
        <v>16741</v>
      </c>
      <c r="D393" s="118">
        <v>3039</v>
      </c>
      <c r="E393" s="118">
        <v>19780</v>
      </c>
      <c r="F393" s="119">
        <v>23830</v>
      </c>
      <c r="G393" s="122" t="s">
        <v>59</v>
      </c>
      <c r="H393" s="114" t="s">
        <v>173</v>
      </c>
    </row>
    <row r="394" spans="1:253" s="43" customFormat="1" ht="16" x14ac:dyDescent="0.2">
      <c r="B394" s="114"/>
      <c r="C394" s="154"/>
      <c r="D394" s="118"/>
      <c r="E394" s="118"/>
      <c r="F394" s="119"/>
      <c r="G394" s="122"/>
      <c r="H394" s="114"/>
    </row>
    <row r="395" spans="1:253" s="43" customFormat="1" x14ac:dyDescent="0.15">
      <c r="A395" t="s">
        <v>42</v>
      </c>
      <c r="B395" s="2">
        <v>1950</v>
      </c>
      <c r="C395" s="2">
        <v>1990</v>
      </c>
      <c r="D395" s="44">
        <v>2015</v>
      </c>
      <c r="E395" s="2">
        <v>2016</v>
      </c>
      <c r="F395" s="2">
        <v>2017</v>
      </c>
      <c r="G395" s="2">
        <v>2018</v>
      </c>
      <c r="H395" s="2">
        <v>2019</v>
      </c>
      <c r="I395" s="2">
        <v>2020</v>
      </c>
      <c r="J395" s="2">
        <v>2021</v>
      </c>
      <c r="K395" s="2">
        <v>2025</v>
      </c>
      <c r="L395" s="124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  <c r="ET395"/>
      <c r="EU395"/>
      <c r="EV395"/>
      <c r="EW395"/>
      <c r="EX395"/>
      <c r="EY395"/>
      <c r="EZ395"/>
      <c r="FA395"/>
      <c r="FB395"/>
      <c r="FC395"/>
      <c r="FD395"/>
      <c r="FE395"/>
      <c r="FF395"/>
      <c r="FG395"/>
      <c r="FH395"/>
      <c r="FI395"/>
      <c r="FJ395"/>
      <c r="FK395"/>
      <c r="FL395"/>
      <c r="FM395"/>
      <c r="FN395"/>
      <c r="FO395"/>
      <c r="FP395"/>
      <c r="FQ395"/>
      <c r="FR395"/>
      <c r="FS395"/>
      <c r="FT395"/>
      <c r="FU395"/>
      <c r="FV395"/>
      <c r="FW395"/>
      <c r="FX395"/>
      <c r="FY395"/>
      <c r="FZ395"/>
      <c r="GA395"/>
      <c r="GB395"/>
      <c r="GC395"/>
      <c r="GD395"/>
      <c r="GE395"/>
      <c r="GF395"/>
      <c r="GG395"/>
      <c r="GH395"/>
      <c r="GI395"/>
      <c r="GJ395"/>
      <c r="GK395"/>
      <c r="GL395"/>
      <c r="GM395"/>
      <c r="GN395"/>
      <c r="GO395"/>
      <c r="GP395"/>
      <c r="GQ395"/>
      <c r="GR395"/>
      <c r="GS395"/>
      <c r="GT395"/>
      <c r="GU395"/>
      <c r="GV395"/>
      <c r="GW395"/>
      <c r="GX395"/>
      <c r="GY395"/>
      <c r="GZ395"/>
      <c r="HA395"/>
      <c r="HB395"/>
      <c r="HC395"/>
      <c r="HD395"/>
      <c r="HE395"/>
      <c r="HF395"/>
      <c r="HG395"/>
      <c r="HH395"/>
      <c r="HI395"/>
      <c r="HJ395"/>
      <c r="HK395"/>
      <c r="HL395"/>
      <c r="HM395"/>
      <c r="HN395"/>
      <c r="HO395"/>
      <c r="HP395"/>
      <c r="HQ395"/>
      <c r="HR395"/>
      <c r="HS395"/>
      <c r="HT395"/>
      <c r="HU395"/>
      <c r="HV395"/>
      <c r="HW395"/>
      <c r="HX395"/>
      <c r="HY395"/>
      <c r="HZ395"/>
      <c r="IA395"/>
      <c r="IB395"/>
      <c r="IC395"/>
      <c r="ID395"/>
      <c r="IE395"/>
      <c r="IF395"/>
      <c r="IG395"/>
      <c r="IH395"/>
      <c r="II395"/>
      <c r="IJ395"/>
      <c r="IK395"/>
      <c r="IL395"/>
      <c r="IM395"/>
      <c r="IN395"/>
      <c r="IO395"/>
      <c r="IP395"/>
      <c r="IQ395"/>
      <c r="IR395"/>
      <c r="IS395"/>
    </row>
    <row r="396" spans="1:253" x14ac:dyDescent="0.15">
      <c r="A396" t="s">
        <v>225</v>
      </c>
      <c r="B396" s="2">
        <v>840</v>
      </c>
      <c r="C396" s="2">
        <v>16582</v>
      </c>
      <c r="D396" s="126">
        <v>15971</v>
      </c>
      <c r="E396" s="126">
        <v>16044</v>
      </c>
      <c r="F396" s="124">
        <v>16276</v>
      </c>
      <c r="G396" s="126">
        <v>16509</v>
      </c>
      <c r="H396" s="124">
        <v>16741</v>
      </c>
      <c r="I396" s="124">
        <v>16973</v>
      </c>
      <c r="J396" s="124">
        <v>17206</v>
      </c>
      <c r="K396" s="2">
        <v>18135</v>
      </c>
    </row>
    <row r="397" spans="1:253" x14ac:dyDescent="0.15">
      <c r="A397" t="s">
        <v>224</v>
      </c>
      <c r="B397" s="2">
        <v>226</v>
      </c>
      <c r="C397" s="125">
        <v>1967</v>
      </c>
      <c r="D397" s="154">
        <v>3148</v>
      </c>
      <c r="E397" s="124">
        <v>3205</v>
      </c>
      <c r="F397" s="124">
        <v>3150</v>
      </c>
      <c r="G397" s="124">
        <v>3094</v>
      </c>
      <c r="H397" s="124">
        <v>3039</v>
      </c>
      <c r="I397" s="124">
        <v>2984</v>
      </c>
      <c r="J397" s="124">
        <v>2928</v>
      </c>
      <c r="K397" s="2">
        <v>2707</v>
      </c>
    </row>
    <row r="398" spans="1:253" x14ac:dyDescent="0.15">
      <c r="A398" t="s">
        <v>223</v>
      </c>
      <c r="B398" s="2">
        <f>B396+B397</f>
        <v>1066</v>
      </c>
      <c r="C398" s="124">
        <f>C396+C397</f>
        <v>18549</v>
      </c>
      <c r="D398" s="143">
        <f t="shared" ref="D398:F398" si="128">D396+D397</f>
        <v>19119</v>
      </c>
      <c r="E398" s="124">
        <f t="shared" si="128"/>
        <v>19249</v>
      </c>
      <c r="F398" s="124">
        <f t="shared" si="128"/>
        <v>19426</v>
      </c>
      <c r="G398" s="124">
        <f t="shared" ref="G398" si="129">G396+G397</f>
        <v>19603</v>
      </c>
      <c r="H398" s="124">
        <f t="shared" ref="H398:I398" si="130">H396+H397</f>
        <v>19780</v>
      </c>
      <c r="I398" s="124">
        <f t="shared" si="130"/>
        <v>19957</v>
      </c>
      <c r="J398" s="124">
        <f>J396+J397</f>
        <v>20134</v>
      </c>
      <c r="K398" s="124">
        <f t="shared" ref="K398" si="131">K396+K397</f>
        <v>20842</v>
      </c>
      <c r="L398" s="2"/>
    </row>
    <row r="399" spans="1:253" x14ac:dyDescent="0.15">
      <c r="A399" t="s">
        <v>196</v>
      </c>
      <c r="C399" s="2">
        <v>20347</v>
      </c>
      <c r="D399" s="44">
        <v>21279</v>
      </c>
      <c r="E399" s="2">
        <v>22989</v>
      </c>
      <c r="F399" s="124">
        <v>23070</v>
      </c>
      <c r="G399" s="2">
        <v>23800</v>
      </c>
      <c r="H399" s="124">
        <v>23830</v>
      </c>
      <c r="I399" s="124">
        <v>24320</v>
      </c>
      <c r="J399" s="124">
        <v>23800</v>
      </c>
      <c r="K399" s="2">
        <v>23830</v>
      </c>
    </row>
    <row r="400" spans="1:253" x14ac:dyDescent="0.15">
      <c r="C400" s="2"/>
      <c r="D400" s="43"/>
    </row>
    <row r="401" spans="2:12" x14ac:dyDescent="0.15">
      <c r="B401"/>
      <c r="C401"/>
      <c r="L401" t="s">
        <v>25</v>
      </c>
    </row>
    <row r="402" spans="2:12" x14ac:dyDescent="0.15">
      <c r="B402"/>
      <c r="C402"/>
    </row>
    <row r="403" spans="2:12" x14ac:dyDescent="0.15">
      <c r="B403"/>
      <c r="C403"/>
    </row>
    <row r="404" spans="2:12" x14ac:dyDescent="0.15">
      <c r="B404"/>
      <c r="C404"/>
    </row>
    <row r="405" spans="2:12" x14ac:dyDescent="0.15">
      <c r="B405"/>
      <c r="C405"/>
    </row>
    <row r="406" spans="2:12" x14ac:dyDescent="0.15">
      <c r="B406"/>
      <c r="C406"/>
    </row>
    <row r="407" spans="2:12" x14ac:dyDescent="0.15">
      <c r="B407"/>
      <c r="C407"/>
    </row>
    <row r="408" spans="2:12" x14ac:dyDescent="0.15">
      <c r="B408"/>
      <c r="C408"/>
    </row>
    <row r="409" spans="2:12" x14ac:dyDescent="0.15">
      <c r="B409"/>
      <c r="C409"/>
    </row>
    <row r="410" spans="2:12" x14ac:dyDescent="0.15">
      <c r="B410"/>
      <c r="C410"/>
    </row>
    <row r="434" spans="2:2" x14ac:dyDescent="0.15">
      <c r="B434"/>
    </row>
  </sheetData>
  <phoneticPr fontId="20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colBreaks count="2" manualBreakCount="2">
    <brk id="1" max="1048575" man="1"/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2023-04-11T14:13:27Z</dcterms:created>
  <dcterms:modified xsi:type="dcterms:W3CDTF">2024-04-04T15:37:03Z</dcterms:modified>
</cp:coreProperties>
</file>