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640" yWindow="-80" windowWidth="23320" windowHeight="13980" tabRatio="500"/>
  </bookViews>
  <sheets>
    <sheet name="Feuil1" sheetId="1" r:id="rId1"/>
  </sheets>
  <calcPr calcId="130407" iterateDelta="1E-4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5" i="1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E36"/>
  <c r="L4"/>
  <c r="AE4"/>
  <c r="Q4"/>
  <c r="Z4"/>
  <c r="AD4"/>
  <c r="AF4"/>
  <c r="AG4"/>
  <c r="Q5"/>
  <c r="Z5"/>
  <c r="AD5"/>
  <c r="AG5"/>
  <c r="Q6"/>
  <c r="Z6"/>
  <c r="AD6"/>
  <c r="AG6"/>
  <c r="AF5"/>
  <c r="AF6"/>
  <c r="AE7"/>
  <c r="Q7"/>
  <c r="Z7"/>
  <c r="AD7"/>
  <c r="AG7"/>
  <c r="Q8"/>
  <c r="Z8"/>
  <c r="AD8"/>
  <c r="AG8"/>
  <c r="Q9"/>
  <c r="Z9"/>
  <c r="AD9"/>
  <c r="AG9"/>
  <c r="Q10"/>
  <c r="Z10"/>
  <c r="AD10"/>
  <c r="AG10"/>
  <c r="Q11"/>
  <c r="Z11"/>
  <c r="AD11"/>
  <c r="AG11"/>
  <c r="Q12"/>
  <c r="Z12"/>
  <c r="AD12"/>
  <c r="AG12"/>
  <c r="Q13"/>
  <c r="Z13"/>
  <c r="AD13"/>
  <c r="AG13"/>
  <c r="Q14"/>
  <c r="Z14"/>
  <c r="AD14"/>
  <c r="AG14"/>
  <c r="Q15"/>
  <c r="Z15"/>
  <c r="AD15"/>
  <c r="AG15"/>
  <c r="Q16"/>
  <c r="Z16"/>
  <c r="AD16"/>
  <c r="AG16"/>
  <c r="Q17"/>
  <c r="Z17"/>
  <c r="AD17"/>
  <c r="AG17"/>
  <c r="Q18"/>
  <c r="Z18"/>
  <c r="AD18"/>
  <c r="AG18"/>
  <c r="Q19"/>
  <c r="Z19"/>
  <c r="AD19"/>
  <c r="AG19"/>
  <c r="Q20"/>
  <c r="Z20"/>
  <c r="AD20"/>
  <c r="AG20"/>
  <c r="Q21"/>
  <c r="Z21"/>
  <c r="AD21"/>
  <c r="AG21"/>
  <c r="Q22"/>
  <c r="Z22"/>
  <c r="AD22"/>
  <c r="AG22"/>
  <c r="Q23"/>
  <c r="Z23"/>
  <c r="AD23"/>
  <c r="AG23"/>
  <c r="Q24"/>
  <c r="Z24"/>
  <c r="AD24"/>
  <c r="AG24"/>
  <c r="Q25"/>
  <c r="Z25"/>
  <c r="AD25"/>
  <c r="AG25"/>
  <c r="Q26"/>
  <c r="Z26"/>
  <c r="AD26"/>
  <c r="AG26"/>
  <c r="Q27"/>
  <c r="Z27"/>
  <c r="AD27"/>
  <c r="AG27"/>
  <c r="Q28"/>
  <c r="Z28"/>
  <c r="AD28"/>
  <c r="AG28"/>
  <c r="Q29"/>
  <c r="Z29"/>
  <c r="AD29"/>
  <c r="AG29"/>
  <c r="Q30"/>
  <c r="V30"/>
  <c r="Z30"/>
  <c r="AD30"/>
  <c r="AG30"/>
  <c r="Q31"/>
  <c r="V31"/>
  <c r="Z31"/>
  <c r="AD31"/>
  <c r="AG31"/>
  <c r="Z32"/>
  <c r="AD32"/>
  <c r="AG32"/>
  <c r="Z33"/>
  <c r="AD33"/>
  <c r="AG33"/>
  <c r="Q34"/>
  <c r="Z34"/>
  <c r="AD34"/>
  <c r="AG34"/>
  <c r="Q35"/>
  <c r="Z35"/>
  <c r="AD35"/>
  <c r="AG35"/>
  <c r="Q36"/>
  <c r="Z36"/>
  <c r="AD36"/>
  <c r="AG36"/>
  <c r="AF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E35"/>
  <c r="AE33"/>
  <c r="AE34"/>
  <c r="AE32"/>
  <c r="AE31"/>
  <c r="AE30"/>
  <c r="AE6"/>
  <c r="AE8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5"/>
  <c r="N5"/>
  <c r="V5"/>
  <c r="AB5"/>
  <c r="N6"/>
  <c r="V6"/>
  <c r="AB6"/>
  <c r="N7"/>
  <c r="V7"/>
  <c r="AB7"/>
  <c r="N8"/>
  <c r="V8"/>
  <c r="AB8"/>
  <c r="N9"/>
  <c r="V9"/>
  <c r="AB9"/>
  <c r="N10"/>
  <c r="V10"/>
  <c r="AB10"/>
  <c r="N11"/>
  <c r="V11"/>
  <c r="AB11"/>
  <c r="N12"/>
  <c r="V12"/>
  <c r="AB12"/>
  <c r="N13"/>
  <c r="V13"/>
  <c r="AB13"/>
  <c r="N14"/>
  <c r="V14"/>
  <c r="AB14"/>
  <c r="N15"/>
  <c r="V15"/>
  <c r="AB15"/>
  <c r="N16"/>
  <c r="V16"/>
  <c r="AB16"/>
  <c r="N17"/>
  <c r="V17"/>
  <c r="AB17"/>
  <c r="N18"/>
  <c r="V18"/>
  <c r="AB18"/>
  <c r="N19"/>
  <c r="V19"/>
  <c r="AB19"/>
  <c r="N20"/>
  <c r="V20"/>
  <c r="AB20"/>
  <c r="N21"/>
  <c r="V21"/>
  <c r="AB21"/>
  <c r="N22"/>
  <c r="V22"/>
  <c r="AB22"/>
  <c r="N23"/>
  <c r="V23"/>
  <c r="AB23"/>
  <c r="N24"/>
  <c r="V24"/>
  <c r="AB24"/>
  <c r="N25"/>
  <c r="V25"/>
  <c r="AB25"/>
  <c r="N26"/>
  <c r="V26"/>
  <c r="AB26"/>
  <c r="N27"/>
  <c r="V27"/>
  <c r="AB27"/>
  <c r="N28"/>
  <c r="V28"/>
  <c r="AB28"/>
  <c r="N29"/>
  <c r="V29"/>
  <c r="AB29"/>
  <c r="N30"/>
  <c r="AB30"/>
  <c r="N31"/>
  <c r="AB31"/>
  <c r="AB32"/>
  <c r="AB33"/>
  <c r="AB34"/>
  <c r="AB35"/>
  <c r="AB36"/>
  <c r="N4"/>
  <c r="V4"/>
  <c r="AB4"/>
  <c r="L32"/>
  <c r="L30"/>
  <c r="X3"/>
  <c r="Z3"/>
  <c r="Y35"/>
  <c r="Y36"/>
  <c r="Y34"/>
  <c r="Y31"/>
  <c r="Y30"/>
  <c r="Y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4"/>
  <c r="Y3"/>
  <c r="P4"/>
  <c r="O3"/>
  <c r="Q3"/>
  <c r="P35"/>
  <c r="P36"/>
  <c r="P34"/>
  <c r="P3"/>
  <c r="P31"/>
  <c r="P30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A37"/>
  <c r="S3"/>
  <c r="U3"/>
  <c r="AD3"/>
  <c r="T3"/>
  <c r="AC3"/>
  <c r="AA3"/>
  <c r="B3"/>
</calcChain>
</file>

<file path=xl/sharedStrings.xml><?xml version="1.0" encoding="utf-8"?>
<sst xmlns="http://schemas.openxmlformats.org/spreadsheetml/2006/main" count="40" uniqueCount="40">
  <si>
    <t>RCU                    Moyenne                 2019-2021 kWh</t>
    <phoneticPr fontId="2" type="noConversion"/>
  </si>
  <si>
    <t>Investissement et grosses opérations    euros</t>
    <phoneticPr fontId="2" type="noConversion"/>
  </si>
  <si>
    <t>reste à amortir          euros</t>
    <phoneticPr fontId="2" type="noConversion"/>
  </si>
  <si>
    <t>dépenses de fonctionnement réductrices    euros</t>
    <phoneticPr fontId="2" type="noConversion"/>
  </si>
  <si>
    <t>carbone gris   TCO2e</t>
    <phoneticPr fontId="2" type="noConversion"/>
  </si>
  <si>
    <t>Année de            construction</t>
    <phoneticPr fontId="2" type="noConversion"/>
  </si>
  <si>
    <t>Energies    cout moyen annuel   courant            euros</t>
    <phoneticPr fontId="2" type="noConversion"/>
  </si>
  <si>
    <t>GAZ annuel
kWh</t>
    <phoneticPr fontId="2" type="noConversion"/>
  </si>
  <si>
    <t>Coût global investissement + fonctionnement énergies euros courants</t>
    <phoneticPr fontId="2" type="noConversion"/>
  </si>
  <si>
    <t>reste à amortir  énergie de fonctionnement TCO2e</t>
    <phoneticPr fontId="2" type="noConversion"/>
  </si>
  <si>
    <t>Années</t>
    <phoneticPr fontId="2" type="noConversion"/>
  </si>
  <si>
    <t>Electricité anuelle
kWh</t>
    <phoneticPr fontId="2" type="noConversion"/>
  </si>
  <si>
    <t xml:space="preserve">électricité photovoltaïque annuelle       kWh </t>
    <phoneticPr fontId="2" type="noConversion"/>
  </si>
  <si>
    <t>énergies  annuelle    kWh</t>
    <phoneticPr fontId="2" type="noConversion"/>
  </si>
  <si>
    <t>extension 1</t>
    <phoneticPr fontId="2" type="noConversion"/>
  </si>
  <si>
    <t>extension 2</t>
    <phoneticPr fontId="2" type="noConversion"/>
  </si>
  <si>
    <t>construction</t>
    <phoneticPr fontId="2" type="noConversion"/>
  </si>
  <si>
    <t>Identifiant BDD</t>
  </si>
  <si>
    <t>Quartier</t>
  </si>
  <si>
    <t>Designation inventaire Ville de Cergy</t>
  </si>
  <si>
    <t xml:space="preserve"> GAZ Moyenne 2019-2021 kWh</t>
  </si>
  <si>
    <t>GAZ             cout moyen annuel   2019-2021 euros</t>
  </si>
  <si>
    <t>GAZ          émissions  annuelles   2019-2021 TCO2e</t>
  </si>
  <si>
    <t>RCU                               cout moyen annuel   2019-2021              euros</t>
  </si>
  <si>
    <t>RCU                   émissions  annuelles   2019-2021            TCO2e</t>
  </si>
  <si>
    <t>Electricité Moyenne 2019-2021  kWh</t>
  </si>
  <si>
    <t>Electricité cout moyen annuel   2019-2021            euros</t>
  </si>
  <si>
    <t>électricité émissions  annuelles   2019-2021            TCO2e</t>
  </si>
  <si>
    <t>Energies    cout moyen annuel   2019-2021            euros</t>
  </si>
  <si>
    <t>énergies émissions  annuelles   2019-2021            TCO2e</t>
  </si>
  <si>
    <t>kwh</t>
  </si>
  <si>
    <t>Hauts de Cergy</t>
  </si>
  <si>
    <t xml:space="preserve">GROUPE SCOLAIRE GS POINT DU JOUR </t>
  </si>
  <si>
    <t>m2</t>
    <phoneticPr fontId="2" type="noConversion"/>
  </si>
  <si>
    <t>Energies Moyenne   2019-2021   kWh</t>
    <phoneticPr fontId="2" type="noConversion"/>
  </si>
  <si>
    <t>cantine    annuel         TCO2e</t>
    <phoneticPr fontId="2" type="noConversion"/>
  </si>
  <si>
    <t>Total         TCO2e</t>
    <phoneticPr fontId="2" type="noConversion"/>
  </si>
  <si>
    <t>reste à amortir investissement plus   grosses réparations TCO2</t>
    <phoneticPr fontId="2" type="noConversion"/>
  </si>
  <si>
    <t>reste à amortir investissement plus fonctionnement TCO2e</t>
    <phoneticPr fontId="2" type="noConversion"/>
  </si>
  <si>
    <t>RCU annuel kWH</t>
    <phoneticPr fontId="2" type="noConversion"/>
  </si>
</sst>
</file>

<file path=xl/styles.xml><?xml version="1.0" encoding="utf-8"?>
<styleSheet xmlns="http://schemas.openxmlformats.org/spreadsheetml/2006/main">
  <numFmts count="2">
    <numFmt numFmtId="164" formatCode="#,##0\ _€"/>
    <numFmt numFmtId="165" formatCode="#,##0.000\ _€"/>
  </numFmts>
  <fonts count="7">
    <font>
      <sz val="10"/>
      <name val="Verdana"/>
    </font>
    <font>
      <sz val="10"/>
      <name val="Verdana"/>
    </font>
    <font>
      <sz val="8"/>
      <name val="Verdana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</font>
    <font>
      <b/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4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164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7" borderId="0" xfId="0" applyFill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0" fillId="0" borderId="0" xfId="0" applyBorder="1"/>
    <xf numFmtId="0" fontId="4" fillId="3" borderId="2" xfId="0" applyFont="1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164" fontId="0" fillId="3" borderId="3" xfId="0" applyNumberForma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 wrapText="1"/>
    </xf>
    <xf numFmtId="164" fontId="0" fillId="3" borderId="4" xfId="0" applyNumberForma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5" fontId="0" fillId="3" borderId="4" xfId="0" applyNumberFormat="1" applyFill="1" applyBorder="1" applyAlignment="1">
      <alignment horizont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I42"/>
  <sheetViews>
    <sheetView tabSelected="1" topLeftCell="V1" workbookViewId="0">
      <selection activeCell="AK18" sqref="AK18"/>
    </sheetView>
  </sheetViews>
  <sheetFormatPr baseColWidth="10" defaultRowHeight="13"/>
  <cols>
    <col min="1" max="1" width="8.85546875" customWidth="1"/>
    <col min="3" max="3" width="12.5703125" customWidth="1"/>
    <col min="4" max="4" width="18.140625" customWidth="1"/>
    <col min="5" max="5" width="16.42578125" customWidth="1"/>
    <col min="6" max="6" width="15.85546875" customWidth="1"/>
    <col min="7" max="7" width="16.5703125" customWidth="1"/>
    <col min="8" max="8" width="16.140625" customWidth="1"/>
    <col min="9" max="9" width="8.85546875" customWidth="1"/>
    <col min="10" max="11" width="12" customWidth="1"/>
    <col min="12" max="12" width="17" customWidth="1"/>
    <col min="14" max="14" width="16.28515625" customWidth="1"/>
    <col min="15" max="15" width="10.28515625" customWidth="1"/>
    <col min="16" max="16" width="10.85546875" customWidth="1"/>
    <col min="18" max="18" width="10.42578125" customWidth="1"/>
    <col min="19" max="19" width="9.85546875" customWidth="1"/>
    <col min="20" max="20" width="8.7109375" customWidth="1"/>
    <col min="21" max="21" width="9.28515625" customWidth="1"/>
    <col min="22" max="22" width="8.28515625" customWidth="1"/>
    <col min="23" max="23" width="11.28515625" customWidth="1"/>
    <col min="24" max="24" width="9.85546875" customWidth="1"/>
    <col min="25" max="25" width="9" customWidth="1"/>
    <col min="26" max="26" width="9.7109375" customWidth="1"/>
    <col min="27" max="28" width="10.140625" customWidth="1"/>
    <col min="29" max="29" width="8.85546875" customWidth="1"/>
    <col min="32" max="32" width="11.5703125" customWidth="1"/>
    <col min="33" max="33" width="12" customWidth="1"/>
    <col min="36" max="36" width="3.42578125" customWidth="1"/>
  </cols>
  <sheetData>
    <row r="1" spans="1:35" ht="84">
      <c r="A1" t="s">
        <v>10</v>
      </c>
      <c r="B1" s="1" t="s">
        <v>17</v>
      </c>
      <c r="C1" s="1" t="s">
        <v>18</v>
      </c>
      <c r="D1" s="21" t="s">
        <v>19</v>
      </c>
      <c r="E1" s="21" t="s">
        <v>5</v>
      </c>
      <c r="F1" s="21" t="s">
        <v>33</v>
      </c>
      <c r="G1" s="21" t="s">
        <v>1</v>
      </c>
      <c r="H1" s="21" t="s">
        <v>2</v>
      </c>
      <c r="I1" s="20" t="s">
        <v>6</v>
      </c>
      <c r="J1" s="21" t="s">
        <v>3</v>
      </c>
      <c r="K1" s="21" t="s">
        <v>8</v>
      </c>
      <c r="L1" s="21" t="s">
        <v>4</v>
      </c>
      <c r="N1" s="2" t="s">
        <v>7</v>
      </c>
      <c r="O1" s="2" t="s">
        <v>20</v>
      </c>
      <c r="P1" s="2" t="s">
        <v>21</v>
      </c>
      <c r="Q1" s="2" t="s">
        <v>22</v>
      </c>
      <c r="R1" s="2" t="s">
        <v>39</v>
      </c>
      <c r="S1" s="2" t="s">
        <v>0</v>
      </c>
      <c r="T1" s="2" t="s">
        <v>23</v>
      </c>
      <c r="U1" s="2" t="s">
        <v>24</v>
      </c>
      <c r="V1" s="2" t="s">
        <v>11</v>
      </c>
      <c r="W1" s="2" t="s">
        <v>12</v>
      </c>
      <c r="X1" s="2" t="s">
        <v>25</v>
      </c>
      <c r="Y1" s="2" t="s">
        <v>26</v>
      </c>
      <c r="Z1" s="2" t="s">
        <v>27</v>
      </c>
      <c r="AA1" s="2" t="s">
        <v>34</v>
      </c>
      <c r="AB1" s="2" t="s">
        <v>13</v>
      </c>
      <c r="AC1" s="2" t="s">
        <v>28</v>
      </c>
      <c r="AD1" s="2" t="s">
        <v>29</v>
      </c>
      <c r="AE1" s="2" t="s">
        <v>37</v>
      </c>
      <c r="AF1" s="2" t="s">
        <v>9</v>
      </c>
      <c r="AG1" s="2" t="s">
        <v>38</v>
      </c>
      <c r="AH1" s="2" t="s">
        <v>35</v>
      </c>
      <c r="AI1" s="2" t="s">
        <v>36</v>
      </c>
    </row>
    <row r="2" spans="1:35" ht="15">
      <c r="B2" s="3"/>
      <c r="C2" s="4"/>
      <c r="D2" s="23" t="s">
        <v>30</v>
      </c>
      <c r="E2" s="5"/>
      <c r="F2" s="5"/>
      <c r="G2" s="5"/>
      <c r="H2" s="5"/>
      <c r="I2" s="12"/>
      <c r="J2" s="5"/>
      <c r="K2" s="26"/>
      <c r="L2" s="5"/>
      <c r="M2" s="26"/>
      <c r="N2" s="25"/>
      <c r="O2" s="6"/>
      <c r="P2" s="6"/>
      <c r="Q2" s="6"/>
      <c r="R2" s="28"/>
      <c r="S2" s="28"/>
      <c r="T2" s="28"/>
      <c r="U2" s="31"/>
      <c r="V2" s="8"/>
      <c r="W2" s="8"/>
      <c r="X2" s="12"/>
      <c r="Y2" s="12"/>
      <c r="Z2" s="7"/>
      <c r="AA2" s="12"/>
      <c r="AB2" s="12"/>
      <c r="AC2" s="12"/>
      <c r="AD2" s="7"/>
      <c r="AE2" s="7"/>
      <c r="AF2" s="7"/>
      <c r="AG2" s="26"/>
    </row>
    <row r="3" spans="1:35" ht="31" customHeight="1">
      <c r="B3" s="10">
        <f t="shared" ref="B3" si="0">B2+1</f>
        <v>1</v>
      </c>
      <c r="C3" s="4" t="s">
        <v>31</v>
      </c>
      <c r="D3" s="24" t="s">
        <v>32</v>
      </c>
      <c r="E3" s="27">
        <v>1989</v>
      </c>
      <c r="F3" s="9"/>
      <c r="G3" s="9"/>
      <c r="H3" s="9"/>
      <c r="I3" s="12"/>
      <c r="J3" s="9"/>
      <c r="K3" s="26"/>
      <c r="L3" s="9"/>
      <c r="M3" s="26"/>
      <c r="N3" s="26"/>
      <c r="O3" s="6">
        <f>(N34+N35+N36)/3</f>
        <v>337162.33333333331</v>
      </c>
      <c r="P3" s="6">
        <f>O3*0.057</f>
        <v>19218.253000000001</v>
      </c>
      <c r="Q3" s="6">
        <f>O3*230/1000000</f>
        <v>77.547336666666652</v>
      </c>
      <c r="R3" s="32"/>
      <c r="S3" s="12">
        <f>(R34+R35+R36)/3</f>
        <v>0</v>
      </c>
      <c r="T3" s="12">
        <f t="shared" ref="T3" si="1">S3*0.0677</f>
        <v>0</v>
      </c>
      <c r="U3" s="12">
        <f t="shared" ref="U3" si="2">S3*(100/1000000)</f>
        <v>0</v>
      </c>
      <c r="V3" s="26"/>
      <c r="W3" s="8"/>
      <c r="X3" s="12">
        <f>(V34+V35+V36)/3</f>
        <v>388431.33333333331</v>
      </c>
      <c r="Y3" s="12">
        <f>X3*0.1338</f>
        <v>51972.112399999998</v>
      </c>
      <c r="Z3" s="7">
        <f>X3*(180/1000000)</f>
        <v>69.917640000000006</v>
      </c>
      <c r="AA3" s="12">
        <f>O3+S3+X3</f>
        <v>725593.66666666663</v>
      </c>
      <c r="AB3" s="12"/>
      <c r="AC3" s="12">
        <f>P3+T3+Y3</f>
        <v>71190.365399999995</v>
      </c>
      <c r="AD3" s="12">
        <f>Q3+U3+Z3</f>
        <v>147.46497666666664</v>
      </c>
      <c r="AE3" s="12"/>
      <c r="AF3" s="12"/>
      <c r="AG3" s="26"/>
    </row>
    <row r="4" spans="1:35">
      <c r="A4" s="11">
        <v>1989</v>
      </c>
      <c r="D4" t="s">
        <v>16</v>
      </c>
      <c r="E4" s="22"/>
      <c r="F4" s="29">
        <v>2000</v>
      </c>
      <c r="G4" s="22"/>
      <c r="H4" s="22"/>
      <c r="I4" s="22"/>
      <c r="J4" s="22"/>
      <c r="K4" s="22"/>
      <c r="L4" s="30">
        <f>F4*0.46</f>
        <v>920</v>
      </c>
      <c r="M4" s="22"/>
      <c r="N4" s="14">
        <f>337000*2000/3952</f>
        <v>170546.55870445343</v>
      </c>
      <c r="O4" s="14"/>
      <c r="P4" s="15">
        <f>337000*0.057*2000/3952</f>
        <v>9721.1538461538457</v>
      </c>
      <c r="Q4" s="17">
        <f>78*2000/3952</f>
        <v>39.473684210526315</v>
      </c>
      <c r="R4" s="11">
        <v>0</v>
      </c>
      <c r="V4" s="11">
        <f>388000*2000/3952</f>
        <v>196356.27530364372</v>
      </c>
      <c r="W4" s="11">
        <v>0</v>
      </c>
      <c r="Y4" s="18">
        <f>388000*0.1338*2000/3952</f>
        <v>26272.469635627531</v>
      </c>
      <c r="Z4" s="18">
        <f>196000*(180/1000000)</f>
        <v>35.28</v>
      </c>
      <c r="AB4" s="19">
        <f>N4+R4+V4+W4</f>
        <v>366902.83400809718</v>
      </c>
      <c r="AD4" s="19">
        <f>Q4+U4+Z4</f>
        <v>74.753684210526316</v>
      </c>
      <c r="AE4" s="19">
        <f>L4</f>
        <v>920</v>
      </c>
      <c r="AF4" s="19">
        <f>AD4</f>
        <v>74.753684210526316</v>
      </c>
      <c r="AG4" s="19">
        <f>AE4+AF4</f>
        <v>994.75368421052633</v>
      </c>
    </row>
    <row r="5" spans="1:35">
      <c r="A5" s="11">
        <f>A4+1</f>
        <v>1990</v>
      </c>
      <c r="F5" s="11"/>
      <c r="N5" s="14">
        <f t="shared" ref="N5:N29" si="3">337000*2000/3952</f>
        <v>170546.55870445343</v>
      </c>
      <c r="P5" s="15">
        <f t="shared" ref="P5:P29" si="4">337000*0.057*2000/3952</f>
        <v>9721.1538461538457</v>
      </c>
      <c r="Q5" s="17">
        <f t="shared" ref="Q5:Q29" si="5">78*2000/3952</f>
        <v>39.473684210526315</v>
      </c>
      <c r="R5" s="11">
        <v>0</v>
      </c>
      <c r="V5" s="11">
        <f t="shared" ref="V5:V29" si="6">388000*2000/3952</f>
        <v>196356.27530364372</v>
      </c>
      <c r="W5" s="11">
        <v>0</v>
      </c>
      <c r="Y5" s="18">
        <f t="shared" ref="Y5:Y29" si="7">388000*0.1338*2000/3952</f>
        <v>26272.469635627531</v>
      </c>
      <c r="Z5" s="18">
        <f t="shared" ref="Z5:Z29" si="8">196000*(180/1000000)</f>
        <v>35.28</v>
      </c>
      <c r="AB5" s="19">
        <f t="shared" ref="AB5:AB36" si="9">N5+R5+V5+W5</f>
        <v>366902.83400809718</v>
      </c>
      <c r="AD5" s="19">
        <f t="shared" ref="AD5:AD36" si="10">Q5+U5+Z5</f>
        <v>74.753684210526316</v>
      </c>
      <c r="AE5" s="19">
        <f>920/((1+(A5-1989)*0.004))</f>
        <v>916.33466135458173</v>
      </c>
      <c r="AF5" s="19">
        <f>(AF4+AD5)/(1+(A5-1989)*0.004)</f>
        <v>148.91172153491297</v>
      </c>
      <c r="AG5" s="19">
        <f>AG4+AD5</f>
        <v>1069.5073684210527</v>
      </c>
    </row>
    <row r="6" spans="1:35">
      <c r="A6" s="11">
        <f t="shared" ref="A6:A37" si="11">A5+1</f>
        <v>1991</v>
      </c>
      <c r="F6" s="11"/>
      <c r="N6" s="14">
        <f t="shared" si="3"/>
        <v>170546.55870445343</v>
      </c>
      <c r="P6" s="15">
        <f t="shared" si="4"/>
        <v>9721.1538461538457</v>
      </c>
      <c r="Q6" s="17">
        <f t="shared" si="5"/>
        <v>39.473684210526315</v>
      </c>
      <c r="R6" s="11">
        <v>0</v>
      </c>
      <c r="V6" s="11">
        <f t="shared" si="6"/>
        <v>196356.27530364372</v>
      </c>
      <c r="W6" s="11">
        <v>0</v>
      </c>
      <c r="Y6" s="18">
        <f t="shared" si="7"/>
        <v>26272.469635627531</v>
      </c>
      <c r="Z6" s="18">
        <f t="shared" si="8"/>
        <v>35.28</v>
      </c>
      <c r="AB6" s="19">
        <f t="shared" si="9"/>
        <v>366902.83400809718</v>
      </c>
      <c r="AD6" s="19">
        <f t="shared" si="10"/>
        <v>74.753684210526316</v>
      </c>
      <c r="AE6" s="19">
        <f t="shared" ref="AE6:AE29" si="12">920/((1+(A6-1989)*0.004))</f>
        <v>912.69841269841265</v>
      </c>
      <c r="AF6" s="19">
        <f>(AF5+AD6)/(1+(A6-1989)*0.004)</f>
        <v>221.89028347761831</v>
      </c>
      <c r="AG6" s="19">
        <f>AG5+AD6</f>
        <v>1144.2610526315789</v>
      </c>
    </row>
    <row r="7" spans="1:35">
      <c r="A7" s="11">
        <f t="shared" si="11"/>
        <v>1992</v>
      </c>
      <c r="F7" s="11"/>
      <c r="N7" s="14">
        <f t="shared" si="3"/>
        <v>170546.55870445343</v>
      </c>
      <c r="P7" s="15">
        <f t="shared" si="4"/>
        <v>9721.1538461538457</v>
      </c>
      <c r="Q7" s="17">
        <f t="shared" si="5"/>
        <v>39.473684210526315</v>
      </c>
      <c r="R7" s="11">
        <v>0</v>
      </c>
      <c r="V7" s="11">
        <f t="shared" si="6"/>
        <v>196356.27530364372</v>
      </c>
      <c r="W7" s="11">
        <v>0</v>
      </c>
      <c r="Y7" s="18">
        <f t="shared" si="7"/>
        <v>26272.469635627531</v>
      </c>
      <c r="Z7" s="18">
        <f t="shared" si="8"/>
        <v>35.28</v>
      </c>
      <c r="AB7" s="19">
        <f t="shared" si="9"/>
        <v>366902.83400809718</v>
      </c>
      <c r="AD7" s="19">
        <f t="shared" si="10"/>
        <v>74.753684210526316</v>
      </c>
      <c r="AE7" s="19">
        <f>920/((1+(A7-1989)*0.004))</f>
        <v>909.09090909090912</v>
      </c>
      <c r="AF7" s="19">
        <f>(AF6+AD7)/(1+(A7-1989)*0.004)</f>
        <v>293.12645028472792</v>
      </c>
      <c r="AG7" s="19">
        <f t="shared" ref="AG7:AG36" si="13">AG6+AD7</f>
        <v>1219.0147368421051</v>
      </c>
    </row>
    <row r="8" spans="1:35">
      <c r="A8" s="11">
        <f t="shared" si="11"/>
        <v>1993</v>
      </c>
      <c r="F8" s="11"/>
      <c r="N8" s="14">
        <f t="shared" si="3"/>
        <v>170546.55870445343</v>
      </c>
      <c r="P8" s="15">
        <f t="shared" si="4"/>
        <v>9721.1538461538457</v>
      </c>
      <c r="Q8" s="17">
        <f t="shared" si="5"/>
        <v>39.473684210526315</v>
      </c>
      <c r="R8" s="11">
        <v>0</v>
      </c>
      <c r="V8" s="11">
        <f t="shared" si="6"/>
        <v>196356.27530364372</v>
      </c>
      <c r="W8" s="11">
        <v>0</v>
      </c>
      <c r="Y8" s="18">
        <f t="shared" si="7"/>
        <v>26272.469635627531</v>
      </c>
      <c r="Z8" s="18">
        <f t="shared" si="8"/>
        <v>35.28</v>
      </c>
      <c r="AB8" s="19">
        <f t="shared" si="9"/>
        <v>366902.83400809718</v>
      </c>
      <c r="AD8" s="19">
        <f t="shared" si="10"/>
        <v>74.753684210526316</v>
      </c>
      <c r="AE8" s="19">
        <f t="shared" si="12"/>
        <v>905.51181102362204</v>
      </c>
      <c r="AF8" s="19">
        <f>(AF7+AD8)/(1+(A8-1989)*0.004)</f>
        <v>362.08674655044712</v>
      </c>
      <c r="AG8" s="19">
        <f t="shared" si="13"/>
        <v>1293.7684210526313</v>
      </c>
    </row>
    <row r="9" spans="1:35">
      <c r="A9" s="11">
        <f t="shared" si="11"/>
        <v>1994</v>
      </c>
      <c r="F9" s="11"/>
      <c r="N9" s="14">
        <f t="shared" si="3"/>
        <v>170546.55870445343</v>
      </c>
      <c r="P9" s="15">
        <f t="shared" si="4"/>
        <v>9721.1538461538457</v>
      </c>
      <c r="Q9" s="17">
        <f t="shared" si="5"/>
        <v>39.473684210526315</v>
      </c>
      <c r="R9" s="11">
        <v>0</v>
      </c>
      <c r="V9" s="11">
        <f t="shared" si="6"/>
        <v>196356.27530364372</v>
      </c>
      <c r="W9" s="11">
        <v>0</v>
      </c>
      <c r="Y9" s="18">
        <f t="shared" si="7"/>
        <v>26272.469635627531</v>
      </c>
      <c r="Z9" s="18">
        <f t="shared" si="8"/>
        <v>35.28</v>
      </c>
      <c r="AB9" s="19">
        <f t="shared" si="9"/>
        <v>366902.83400809718</v>
      </c>
      <c r="AD9" s="19">
        <f t="shared" si="10"/>
        <v>74.753684210526316</v>
      </c>
      <c r="AE9" s="19">
        <f t="shared" si="12"/>
        <v>901.96078431372553</v>
      </c>
      <c r="AF9" s="19">
        <f>(AF8+AD9)/(1+(A9-1989)*0.004)</f>
        <v>428.27493211860138</v>
      </c>
      <c r="AG9" s="19">
        <f t="shared" si="13"/>
        <v>1368.5221052631575</v>
      </c>
    </row>
    <row r="10" spans="1:35">
      <c r="A10" s="11">
        <f t="shared" si="11"/>
        <v>1995</v>
      </c>
      <c r="F10" s="11"/>
      <c r="N10" s="14">
        <f t="shared" si="3"/>
        <v>170546.55870445343</v>
      </c>
      <c r="P10" s="15">
        <f t="shared" si="4"/>
        <v>9721.1538461538457</v>
      </c>
      <c r="Q10" s="17">
        <f t="shared" si="5"/>
        <v>39.473684210526315</v>
      </c>
      <c r="R10" s="11">
        <v>0</v>
      </c>
      <c r="V10" s="11">
        <f t="shared" si="6"/>
        <v>196356.27530364372</v>
      </c>
      <c r="W10" s="11">
        <v>0</v>
      </c>
      <c r="Y10" s="18">
        <f t="shared" si="7"/>
        <v>26272.469635627531</v>
      </c>
      <c r="Z10" s="18">
        <f t="shared" si="8"/>
        <v>35.28</v>
      </c>
      <c r="AB10" s="19">
        <f t="shared" si="9"/>
        <v>366902.83400809718</v>
      </c>
      <c r="AD10" s="19">
        <f t="shared" si="10"/>
        <v>74.753684210526316</v>
      </c>
      <c r="AE10" s="19">
        <f t="shared" si="12"/>
        <v>898.4375</v>
      </c>
      <c r="AF10" s="19">
        <f>(AF9+AD10)/(1+(A10-1989)*0.004)</f>
        <v>491.23888313391376</v>
      </c>
      <c r="AG10" s="19">
        <f t="shared" si="13"/>
        <v>1443.2757894736837</v>
      </c>
    </row>
    <row r="11" spans="1:35">
      <c r="A11" s="11">
        <f t="shared" si="11"/>
        <v>1996</v>
      </c>
      <c r="F11" s="11"/>
      <c r="N11" s="14">
        <f t="shared" si="3"/>
        <v>170546.55870445343</v>
      </c>
      <c r="P11" s="15">
        <f t="shared" si="4"/>
        <v>9721.1538461538457</v>
      </c>
      <c r="Q11" s="17">
        <f t="shared" si="5"/>
        <v>39.473684210526315</v>
      </c>
      <c r="R11" s="11">
        <v>0</v>
      </c>
      <c r="V11" s="11">
        <f t="shared" si="6"/>
        <v>196356.27530364372</v>
      </c>
      <c r="W11" s="11">
        <v>0</v>
      </c>
      <c r="Y11" s="18">
        <f t="shared" si="7"/>
        <v>26272.469635627531</v>
      </c>
      <c r="Z11" s="18">
        <f t="shared" si="8"/>
        <v>35.28</v>
      </c>
      <c r="AB11" s="19">
        <f t="shared" si="9"/>
        <v>366902.83400809718</v>
      </c>
      <c r="AD11" s="19">
        <f t="shared" si="10"/>
        <v>74.753684210526316</v>
      </c>
      <c r="AE11" s="19">
        <f t="shared" si="12"/>
        <v>894.94163424124508</v>
      </c>
      <c r="AF11" s="19">
        <f>(AF10+AD11)/(1+(A11-1989)*0.004)</f>
        <v>550.57642737786</v>
      </c>
      <c r="AG11" s="19">
        <f t="shared" si="13"/>
        <v>1518.02947368421</v>
      </c>
    </row>
    <row r="12" spans="1:35">
      <c r="A12" s="11">
        <f t="shared" si="11"/>
        <v>1997</v>
      </c>
      <c r="F12" s="11"/>
      <c r="N12" s="14">
        <f t="shared" si="3"/>
        <v>170546.55870445343</v>
      </c>
      <c r="P12" s="15">
        <f t="shared" si="4"/>
        <v>9721.1538461538457</v>
      </c>
      <c r="Q12" s="17">
        <f t="shared" si="5"/>
        <v>39.473684210526315</v>
      </c>
      <c r="R12" s="11">
        <v>0</v>
      </c>
      <c r="V12" s="11">
        <f t="shared" si="6"/>
        <v>196356.27530364372</v>
      </c>
      <c r="W12" s="11">
        <v>0</v>
      </c>
      <c r="Y12" s="18">
        <f t="shared" si="7"/>
        <v>26272.469635627531</v>
      </c>
      <c r="Z12" s="18">
        <f t="shared" si="8"/>
        <v>35.28</v>
      </c>
      <c r="AB12" s="19">
        <f t="shared" si="9"/>
        <v>366902.83400809718</v>
      </c>
      <c r="AD12" s="19">
        <f t="shared" si="10"/>
        <v>74.753684210526316</v>
      </c>
      <c r="AE12" s="19">
        <f t="shared" si="12"/>
        <v>891.47286821705427</v>
      </c>
      <c r="AF12" s="19">
        <f>(AF11+AD12)/(1+(A12-1989)*0.004)</f>
        <v>605.94003060890145</v>
      </c>
      <c r="AG12" s="19">
        <f t="shared" si="13"/>
        <v>1592.7831578947362</v>
      </c>
    </row>
    <row r="13" spans="1:35">
      <c r="A13" s="11">
        <f t="shared" si="11"/>
        <v>1998</v>
      </c>
      <c r="F13" s="11"/>
      <c r="N13" s="14">
        <f t="shared" si="3"/>
        <v>170546.55870445343</v>
      </c>
      <c r="P13" s="15">
        <f t="shared" si="4"/>
        <v>9721.1538461538457</v>
      </c>
      <c r="Q13" s="17">
        <f t="shared" si="5"/>
        <v>39.473684210526315</v>
      </c>
      <c r="R13" s="11">
        <v>0</v>
      </c>
      <c r="V13" s="11">
        <f t="shared" si="6"/>
        <v>196356.27530364372</v>
      </c>
      <c r="W13" s="11">
        <v>0</v>
      </c>
      <c r="Y13" s="18">
        <f t="shared" si="7"/>
        <v>26272.469635627531</v>
      </c>
      <c r="Z13" s="18">
        <f t="shared" si="8"/>
        <v>35.28</v>
      </c>
      <c r="AB13" s="19">
        <f t="shared" si="9"/>
        <v>366902.83400809718</v>
      </c>
      <c r="AD13" s="19">
        <f t="shared" si="10"/>
        <v>74.753684210526316</v>
      </c>
      <c r="AE13" s="19">
        <f t="shared" si="12"/>
        <v>888.03088803088804</v>
      </c>
      <c r="AF13" s="19">
        <f>(AF12+AD13)/(1+(A13-1989)*0.004)</f>
        <v>657.04026526971791</v>
      </c>
      <c r="AG13" s="19">
        <f t="shared" si="13"/>
        <v>1667.5368421052624</v>
      </c>
    </row>
    <row r="14" spans="1:35">
      <c r="A14" s="11">
        <f t="shared" si="11"/>
        <v>1999</v>
      </c>
      <c r="F14" s="11"/>
      <c r="N14" s="14">
        <f t="shared" si="3"/>
        <v>170546.55870445343</v>
      </c>
      <c r="P14" s="15">
        <f t="shared" si="4"/>
        <v>9721.1538461538457</v>
      </c>
      <c r="Q14" s="17">
        <f t="shared" si="5"/>
        <v>39.473684210526315</v>
      </c>
      <c r="R14" s="11">
        <v>0</v>
      </c>
      <c r="V14" s="11">
        <f t="shared" si="6"/>
        <v>196356.27530364372</v>
      </c>
      <c r="W14" s="11">
        <v>0</v>
      </c>
      <c r="Y14" s="18">
        <f t="shared" si="7"/>
        <v>26272.469635627531</v>
      </c>
      <c r="Z14" s="18">
        <f t="shared" si="8"/>
        <v>35.28</v>
      </c>
      <c r="AB14" s="19">
        <f t="shared" si="9"/>
        <v>366902.83400809718</v>
      </c>
      <c r="AD14" s="19">
        <f t="shared" si="10"/>
        <v>74.753684210526316</v>
      </c>
      <c r="AE14" s="19">
        <f t="shared" si="12"/>
        <v>884.61538461538464</v>
      </c>
      <c r="AF14" s="19">
        <f>(AF13+AD14)/(1+(A14-1989)*0.004)</f>
        <v>703.64802834638863</v>
      </c>
      <c r="AG14" s="19">
        <f t="shared" si="13"/>
        <v>1742.2905263157886</v>
      </c>
    </row>
    <row r="15" spans="1:35">
      <c r="A15" s="11">
        <f t="shared" si="11"/>
        <v>2000</v>
      </c>
      <c r="F15" s="11"/>
      <c r="N15" s="14">
        <f t="shared" si="3"/>
        <v>170546.55870445343</v>
      </c>
      <c r="P15" s="15">
        <f t="shared" si="4"/>
        <v>9721.1538461538457</v>
      </c>
      <c r="Q15" s="17">
        <f t="shared" si="5"/>
        <v>39.473684210526315</v>
      </c>
      <c r="R15" s="11">
        <v>0</v>
      </c>
      <c r="V15" s="11">
        <f t="shared" si="6"/>
        <v>196356.27530364372</v>
      </c>
      <c r="W15" s="11">
        <v>0</v>
      </c>
      <c r="Y15" s="18">
        <f t="shared" si="7"/>
        <v>26272.469635627531</v>
      </c>
      <c r="Z15" s="18">
        <f t="shared" si="8"/>
        <v>35.28</v>
      </c>
      <c r="AB15" s="19">
        <f t="shared" si="9"/>
        <v>366902.83400809718</v>
      </c>
      <c r="AD15" s="19">
        <f t="shared" si="10"/>
        <v>74.753684210526316</v>
      </c>
      <c r="AE15" s="19">
        <f t="shared" si="12"/>
        <v>881.22605363984667</v>
      </c>
      <c r="AF15" s="19">
        <f>(AF14+AD15)/(1+(A15-1989)*0.004)</f>
        <v>745.59551011198744</v>
      </c>
      <c r="AG15" s="19">
        <f t="shared" si="13"/>
        <v>1817.0442105263148</v>
      </c>
    </row>
    <row r="16" spans="1:35">
      <c r="A16" s="11">
        <f t="shared" si="11"/>
        <v>2001</v>
      </c>
      <c r="F16" s="11"/>
      <c r="N16" s="14">
        <f t="shared" si="3"/>
        <v>170546.55870445343</v>
      </c>
      <c r="P16" s="15">
        <f t="shared" si="4"/>
        <v>9721.1538461538457</v>
      </c>
      <c r="Q16" s="17">
        <f t="shared" si="5"/>
        <v>39.473684210526315</v>
      </c>
      <c r="R16" s="11">
        <v>0</v>
      </c>
      <c r="V16" s="11">
        <f t="shared" si="6"/>
        <v>196356.27530364372</v>
      </c>
      <c r="W16" s="11">
        <v>0</v>
      </c>
      <c r="Y16" s="18">
        <f t="shared" si="7"/>
        <v>26272.469635627531</v>
      </c>
      <c r="Z16" s="18">
        <f t="shared" si="8"/>
        <v>35.28</v>
      </c>
      <c r="AB16" s="19">
        <f t="shared" si="9"/>
        <v>366902.83400809718</v>
      </c>
      <c r="AD16" s="19">
        <f t="shared" si="10"/>
        <v>74.753684210526316</v>
      </c>
      <c r="AE16" s="19">
        <f t="shared" si="12"/>
        <v>877.86259541984725</v>
      </c>
      <c r="AF16" s="19">
        <f>(AF15+AD16)/(1+(A16-1989)*0.004)</f>
        <v>782.77594878102457</v>
      </c>
      <c r="AG16" s="19">
        <f t="shared" si="13"/>
        <v>1891.797894736841</v>
      </c>
    </row>
    <row r="17" spans="1:33">
      <c r="A17" s="11">
        <f t="shared" si="11"/>
        <v>2002</v>
      </c>
      <c r="F17" s="11"/>
      <c r="N17" s="14">
        <f t="shared" si="3"/>
        <v>170546.55870445343</v>
      </c>
      <c r="P17" s="15">
        <f t="shared" si="4"/>
        <v>9721.1538461538457</v>
      </c>
      <c r="Q17" s="17">
        <f t="shared" si="5"/>
        <v>39.473684210526315</v>
      </c>
      <c r="R17" s="11">
        <v>0</v>
      </c>
      <c r="V17" s="11">
        <f t="shared" si="6"/>
        <v>196356.27530364372</v>
      </c>
      <c r="W17" s="11">
        <v>0</v>
      </c>
      <c r="Y17" s="18">
        <f t="shared" si="7"/>
        <v>26272.469635627531</v>
      </c>
      <c r="Z17" s="18">
        <f t="shared" si="8"/>
        <v>35.28</v>
      </c>
      <c r="AB17" s="19">
        <f t="shared" si="9"/>
        <v>366902.83400809718</v>
      </c>
      <c r="AD17" s="19">
        <f t="shared" si="10"/>
        <v>74.753684210526316</v>
      </c>
      <c r="AE17" s="19">
        <f t="shared" si="12"/>
        <v>874.52471482889734</v>
      </c>
      <c r="AF17" s="19">
        <f>(AF16+AD17)/(1+(A17-1989)*0.004)</f>
        <v>815.1422366839837</v>
      </c>
      <c r="AG17" s="19">
        <f t="shared" si="13"/>
        <v>1966.5515789473673</v>
      </c>
    </row>
    <row r="18" spans="1:33">
      <c r="A18" s="11">
        <f t="shared" si="11"/>
        <v>2003</v>
      </c>
      <c r="F18" s="11"/>
      <c r="N18" s="14">
        <f t="shared" si="3"/>
        <v>170546.55870445343</v>
      </c>
      <c r="P18" s="15">
        <f t="shared" si="4"/>
        <v>9721.1538461538457</v>
      </c>
      <c r="Q18" s="17">
        <f t="shared" si="5"/>
        <v>39.473684210526315</v>
      </c>
      <c r="R18" s="11">
        <v>0</v>
      </c>
      <c r="V18" s="11">
        <f t="shared" si="6"/>
        <v>196356.27530364372</v>
      </c>
      <c r="W18" s="11">
        <v>0</v>
      </c>
      <c r="Y18" s="18">
        <f t="shared" si="7"/>
        <v>26272.469635627531</v>
      </c>
      <c r="Z18" s="18">
        <f t="shared" si="8"/>
        <v>35.28</v>
      </c>
      <c r="AB18" s="19">
        <f t="shared" si="9"/>
        <v>366902.83400809718</v>
      </c>
      <c r="AD18" s="19">
        <f t="shared" si="10"/>
        <v>74.753684210526316</v>
      </c>
      <c r="AE18" s="19">
        <f t="shared" si="12"/>
        <v>871.21212121212113</v>
      </c>
      <c r="AF18" s="19">
        <f>(AF17+AD18)/(1+(A18-1989)*0.004)</f>
        <v>842.7044705440436</v>
      </c>
      <c r="AG18" s="19">
        <f t="shared" si="13"/>
        <v>2041.3052631578935</v>
      </c>
    </row>
    <row r="19" spans="1:33">
      <c r="A19" s="11">
        <f t="shared" si="11"/>
        <v>2004</v>
      </c>
      <c r="F19" s="11"/>
      <c r="N19" s="14">
        <f t="shared" si="3"/>
        <v>170546.55870445343</v>
      </c>
      <c r="P19" s="15">
        <f t="shared" si="4"/>
        <v>9721.1538461538457</v>
      </c>
      <c r="Q19" s="17">
        <f t="shared" si="5"/>
        <v>39.473684210526315</v>
      </c>
      <c r="R19" s="11">
        <v>0</v>
      </c>
      <c r="V19" s="11">
        <f t="shared" si="6"/>
        <v>196356.27530364372</v>
      </c>
      <c r="W19" s="11">
        <v>0</v>
      </c>
      <c r="Y19" s="18">
        <f t="shared" si="7"/>
        <v>26272.469635627531</v>
      </c>
      <c r="Z19" s="18">
        <f t="shared" si="8"/>
        <v>35.28</v>
      </c>
      <c r="AB19" s="19">
        <f t="shared" si="9"/>
        <v>366902.83400809718</v>
      </c>
      <c r="AD19" s="19">
        <f t="shared" si="10"/>
        <v>74.753684210526316</v>
      </c>
      <c r="AE19" s="19">
        <f t="shared" si="12"/>
        <v>867.92452830188677</v>
      </c>
      <c r="AF19" s="19">
        <f>(AF18+AD19)/(1+(A19-1989)*0.004)</f>
        <v>865.5265610892169</v>
      </c>
      <c r="AG19" s="19">
        <f t="shared" si="13"/>
        <v>2116.0589473684199</v>
      </c>
    </row>
    <row r="20" spans="1:33">
      <c r="A20" s="11">
        <f t="shared" si="11"/>
        <v>2005</v>
      </c>
      <c r="F20" s="11"/>
      <c r="N20" s="14">
        <f t="shared" si="3"/>
        <v>170546.55870445343</v>
      </c>
      <c r="P20" s="15">
        <f t="shared" si="4"/>
        <v>9721.1538461538457</v>
      </c>
      <c r="Q20" s="17">
        <f t="shared" si="5"/>
        <v>39.473684210526315</v>
      </c>
      <c r="R20" s="11">
        <v>0</v>
      </c>
      <c r="V20" s="11">
        <f t="shared" si="6"/>
        <v>196356.27530364372</v>
      </c>
      <c r="W20" s="11">
        <v>0</v>
      </c>
      <c r="Y20" s="18">
        <f t="shared" si="7"/>
        <v>26272.469635627531</v>
      </c>
      <c r="Z20" s="18">
        <f t="shared" si="8"/>
        <v>35.28</v>
      </c>
      <c r="AB20" s="19">
        <f t="shared" si="9"/>
        <v>366902.83400809718</v>
      </c>
      <c r="AD20" s="19">
        <f t="shared" si="10"/>
        <v>74.753684210526316</v>
      </c>
      <c r="AE20" s="19">
        <f t="shared" si="12"/>
        <v>864.66165413533827</v>
      </c>
      <c r="AF20" s="19">
        <f>(AF19+AD20)/(1+(A20-1989)*0.004)</f>
        <v>883.72203505614959</v>
      </c>
      <c r="AG20" s="19">
        <f t="shared" si="13"/>
        <v>2190.8126315789464</v>
      </c>
    </row>
    <row r="21" spans="1:33">
      <c r="A21" s="11">
        <f t="shared" si="11"/>
        <v>2006</v>
      </c>
      <c r="F21" s="11"/>
      <c r="N21" s="14">
        <f t="shared" si="3"/>
        <v>170546.55870445343</v>
      </c>
      <c r="P21" s="15">
        <f t="shared" si="4"/>
        <v>9721.1538461538457</v>
      </c>
      <c r="Q21" s="17">
        <f t="shared" si="5"/>
        <v>39.473684210526315</v>
      </c>
      <c r="R21" s="11">
        <v>0</v>
      </c>
      <c r="V21" s="11">
        <f t="shared" si="6"/>
        <v>196356.27530364372</v>
      </c>
      <c r="W21" s="11">
        <v>0</v>
      </c>
      <c r="Y21" s="18">
        <f t="shared" si="7"/>
        <v>26272.469635627531</v>
      </c>
      <c r="Z21" s="18">
        <f t="shared" si="8"/>
        <v>35.28</v>
      </c>
      <c r="AB21" s="19">
        <f t="shared" si="9"/>
        <v>366902.83400809718</v>
      </c>
      <c r="AD21" s="19">
        <f t="shared" si="10"/>
        <v>74.753684210526316</v>
      </c>
      <c r="AE21" s="19">
        <f t="shared" si="12"/>
        <v>861.42322097378269</v>
      </c>
      <c r="AF21" s="19">
        <f>(AF20+AD21)/(1+(A21-1989)*0.004)</f>
        <v>897.44917534332944</v>
      </c>
      <c r="AG21" s="19">
        <f t="shared" si="13"/>
        <v>2265.5663157894728</v>
      </c>
    </row>
    <row r="22" spans="1:33">
      <c r="A22" s="11">
        <f t="shared" si="11"/>
        <v>2007</v>
      </c>
      <c r="F22" s="11"/>
      <c r="N22" s="14">
        <f t="shared" si="3"/>
        <v>170546.55870445343</v>
      </c>
      <c r="P22" s="15">
        <f t="shared" si="4"/>
        <v>9721.1538461538457</v>
      </c>
      <c r="Q22" s="17">
        <f t="shared" si="5"/>
        <v>39.473684210526315</v>
      </c>
      <c r="R22" s="11">
        <v>0</v>
      </c>
      <c r="V22" s="11">
        <f t="shared" si="6"/>
        <v>196356.27530364372</v>
      </c>
      <c r="W22" s="11">
        <v>0</v>
      </c>
      <c r="Y22" s="18">
        <f t="shared" si="7"/>
        <v>26272.469635627531</v>
      </c>
      <c r="Z22" s="18">
        <f t="shared" si="8"/>
        <v>35.28</v>
      </c>
      <c r="AB22" s="19">
        <f t="shared" si="9"/>
        <v>366902.83400809718</v>
      </c>
      <c r="AD22" s="19">
        <f t="shared" si="10"/>
        <v>74.753684210526316</v>
      </c>
      <c r="AE22" s="19">
        <f t="shared" si="12"/>
        <v>858.20895522388059</v>
      </c>
      <c r="AF22" s="19">
        <f>(AF21+AD22)/(1+(A22-1989)*0.004)</f>
        <v>906.90565256889522</v>
      </c>
      <c r="AG22" s="19">
        <f t="shared" si="13"/>
        <v>2340.3199999999993</v>
      </c>
    </row>
    <row r="23" spans="1:33">
      <c r="A23" s="11">
        <f t="shared" si="11"/>
        <v>2008</v>
      </c>
      <c r="F23" s="11"/>
      <c r="N23" s="14">
        <f t="shared" si="3"/>
        <v>170546.55870445343</v>
      </c>
      <c r="P23" s="15">
        <f t="shared" si="4"/>
        <v>9721.1538461538457</v>
      </c>
      <c r="Q23" s="17">
        <f t="shared" si="5"/>
        <v>39.473684210526315</v>
      </c>
      <c r="R23" s="11">
        <v>0</v>
      </c>
      <c r="V23" s="11">
        <f t="shared" si="6"/>
        <v>196356.27530364372</v>
      </c>
      <c r="W23" s="11">
        <v>0</v>
      </c>
      <c r="Y23" s="18">
        <f t="shared" si="7"/>
        <v>26272.469635627531</v>
      </c>
      <c r="Z23" s="18">
        <f t="shared" si="8"/>
        <v>35.28</v>
      </c>
      <c r="AB23" s="19">
        <f t="shared" si="9"/>
        <v>366902.83400809718</v>
      </c>
      <c r="AD23" s="19">
        <f t="shared" si="10"/>
        <v>74.753684210526316</v>
      </c>
      <c r="AE23" s="19">
        <f t="shared" si="12"/>
        <v>855.01858736059478</v>
      </c>
      <c r="AF23" s="19">
        <f>(AF22+AD23)/(1+(A23-1989)*0.004)</f>
        <v>912.32280369834712</v>
      </c>
      <c r="AG23" s="19">
        <f t="shared" si="13"/>
        <v>2415.0736842105257</v>
      </c>
    </row>
    <row r="24" spans="1:33">
      <c r="A24" s="11">
        <f t="shared" si="11"/>
        <v>2009</v>
      </c>
      <c r="F24" s="11"/>
      <c r="N24" s="14">
        <f t="shared" si="3"/>
        <v>170546.55870445343</v>
      </c>
      <c r="P24" s="15">
        <f t="shared" si="4"/>
        <v>9721.1538461538457</v>
      </c>
      <c r="Q24" s="17">
        <f t="shared" si="5"/>
        <v>39.473684210526315</v>
      </c>
      <c r="R24" s="11">
        <v>0</v>
      </c>
      <c r="V24" s="11">
        <f t="shared" si="6"/>
        <v>196356.27530364372</v>
      </c>
      <c r="W24" s="11">
        <v>0</v>
      </c>
      <c r="Y24" s="18">
        <f t="shared" si="7"/>
        <v>26272.469635627531</v>
      </c>
      <c r="Z24" s="18">
        <f t="shared" si="8"/>
        <v>35.28</v>
      </c>
      <c r="AB24" s="19">
        <f t="shared" si="9"/>
        <v>366902.83400809718</v>
      </c>
      <c r="AD24" s="19">
        <f t="shared" si="10"/>
        <v>74.753684210526316</v>
      </c>
      <c r="AE24" s="19">
        <f t="shared" si="12"/>
        <v>851.85185185185185</v>
      </c>
      <c r="AF24" s="19">
        <f>(AF23+AD24)/(1+(A24-1989)*0.004)</f>
        <v>913.95971102673457</v>
      </c>
      <c r="AG24" s="19">
        <f t="shared" si="13"/>
        <v>2489.8273684210521</v>
      </c>
    </row>
    <row r="25" spans="1:33">
      <c r="A25" s="11">
        <f t="shared" si="11"/>
        <v>2010</v>
      </c>
      <c r="F25" s="11"/>
      <c r="N25" s="14">
        <f t="shared" si="3"/>
        <v>170546.55870445343</v>
      </c>
      <c r="P25" s="15">
        <f t="shared" si="4"/>
        <v>9721.1538461538457</v>
      </c>
      <c r="Q25" s="17">
        <f t="shared" si="5"/>
        <v>39.473684210526315</v>
      </c>
      <c r="R25" s="11">
        <v>0</v>
      </c>
      <c r="V25" s="11">
        <f t="shared" si="6"/>
        <v>196356.27530364372</v>
      </c>
      <c r="W25" s="11">
        <v>0</v>
      </c>
      <c r="Y25" s="18">
        <f t="shared" si="7"/>
        <v>26272.469635627531</v>
      </c>
      <c r="Z25" s="18">
        <f t="shared" si="8"/>
        <v>35.28</v>
      </c>
      <c r="AB25" s="19">
        <f t="shared" si="9"/>
        <v>366902.83400809718</v>
      </c>
      <c r="AD25" s="19">
        <f t="shared" si="10"/>
        <v>74.753684210526316</v>
      </c>
      <c r="AE25" s="19">
        <f t="shared" si="12"/>
        <v>848.70848708487074</v>
      </c>
      <c r="AF25" s="19">
        <f>(AF24+AD25)/(1+(A25-1989)*0.004)</f>
        <v>912.09722807865387</v>
      </c>
      <c r="AG25" s="19">
        <f t="shared" si="13"/>
        <v>2564.5810526315786</v>
      </c>
    </row>
    <row r="26" spans="1:33">
      <c r="A26" s="11">
        <f t="shared" si="11"/>
        <v>2011</v>
      </c>
      <c r="F26" s="11"/>
      <c r="N26" s="14">
        <f t="shared" si="3"/>
        <v>170546.55870445343</v>
      </c>
      <c r="P26" s="15">
        <f t="shared" si="4"/>
        <v>9721.1538461538457</v>
      </c>
      <c r="Q26" s="17">
        <f t="shared" si="5"/>
        <v>39.473684210526315</v>
      </c>
      <c r="R26" s="11">
        <v>0</v>
      </c>
      <c r="V26" s="11">
        <f t="shared" si="6"/>
        <v>196356.27530364372</v>
      </c>
      <c r="W26" s="11">
        <v>0</v>
      </c>
      <c r="Y26" s="18">
        <f t="shared" si="7"/>
        <v>26272.469635627531</v>
      </c>
      <c r="Z26" s="18">
        <f t="shared" si="8"/>
        <v>35.28</v>
      </c>
      <c r="AB26" s="19">
        <f t="shared" si="9"/>
        <v>366902.83400809718</v>
      </c>
      <c r="AD26" s="19">
        <f t="shared" si="10"/>
        <v>74.753684210526316</v>
      </c>
      <c r="AE26" s="19">
        <f t="shared" si="12"/>
        <v>845.58823529411757</v>
      </c>
      <c r="AF26" s="19">
        <f>(AF25+AD26)/(1+(A26-1989)*0.004)</f>
        <v>907.03208850108467</v>
      </c>
      <c r="AG26" s="19">
        <f t="shared" si="13"/>
        <v>2639.334736842105</v>
      </c>
    </row>
    <row r="27" spans="1:33">
      <c r="A27" s="11">
        <f t="shared" si="11"/>
        <v>2012</v>
      </c>
      <c r="F27" s="11"/>
      <c r="N27" s="14">
        <f t="shared" si="3"/>
        <v>170546.55870445343</v>
      </c>
      <c r="P27" s="15">
        <f t="shared" si="4"/>
        <v>9721.1538461538457</v>
      </c>
      <c r="Q27" s="17">
        <f t="shared" si="5"/>
        <v>39.473684210526315</v>
      </c>
      <c r="R27" s="11">
        <v>0</v>
      </c>
      <c r="V27" s="11">
        <f t="shared" si="6"/>
        <v>196356.27530364372</v>
      </c>
      <c r="W27" s="11">
        <v>0</v>
      </c>
      <c r="Y27" s="18">
        <f t="shared" si="7"/>
        <v>26272.469635627531</v>
      </c>
      <c r="Z27" s="18">
        <f t="shared" si="8"/>
        <v>35.28</v>
      </c>
      <c r="AB27" s="19">
        <f t="shared" si="9"/>
        <v>366902.83400809718</v>
      </c>
      <c r="AD27" s="19">
        <f t="shared" si="10"/>
        <v>74.753684210526316</v>
      </c>
      <c r="AE27" s="19">
        <f t="shared" si="12"/>
        <v>842.4908424908424</v>
      </c>
      <c r="AF27" s="19">
        <f>(AF26+AD27)/(1+(A27-1989)*0.004)</f>
        <v>899.07122043187815</v>
      </c>
      <c r="AG27" s="19">
        <f t="shared" si="13"/>
        <v>2714.0884210526315</v>
      </c>
    </row>
    <row r="28" spans="1:33">
      <c r="A28" s="11">
        <f t="shared" si="11"/>
        <v>2013</v>
      </c>
      <c r="F28" s="11"/>
      <c r="N28" s="14">
        <f t="shared" si="3"/>
        <v>170546.55870445343</v>
      </c>
      <c r="P28" s="15">
        <f t="shared" si="4"/>
        <v>9721.1538461538457</v>
      </c>
      <c r="Q28" s="17">
        <f t="shared" si="5"/>
        <v>39.473684210526315</v>
      </c>
      <c r="R28" s="11">
        <v>0</v>
      </c>
      <c r="V28" s="11">
        <f t="shared" si="6"/>
        <v>196356.27530364372</v>
      </c>
      <c r="W28" s="11">
        <v>0</v>
      </c>
      <c r="Y28" s="18">
        <f t="shared" si="7"/>
        <v>26272.469635627531</v>
      </c>
      <c r="Z28" s="18">
        <f t="shared" si="8"/>
        <v>35.28</v>
      </c>
      <c r="AB28" s="19">
        <f t="shared" si="9"/>
        <v>366902.83400809718</v>
      </c>
      <c r="AD28" s="19">
        <f t="shared" si="10"/>
        <v>74.753684210526316</v>
      </c>
      <c r="AE28" s="19">
        <f t="shared" si="12"/>
        <v>839.41605839416047</v>
      </c>
      <c r="AF28" s="19">
        <f>(AF27+AD28)/(1+(A28-1989)*0.004)</f>
        <v>888.52637284890909</v>
      </c>
      <c r="AG28" s="19">
        <f t="shared" si="13"/>
        <v>2788.8421052631579</v>
      </c>
    </row>
    <row r="29" spans="1:33">
      <c r="A29" s="11">
        <f t="shared" si="11"/>
        <v>2014</v>
      </c>
      <c r="F29" s="11"/>
      <c r="N29" s="14">
        <f t="shared" si="3"/>
        <v>170546.55870445343</v>
      </c>
      <c r="P29" s="15">
        <f t="shared" si="4"/>
        <v>9721.1538461538457</v>
      </c>
      <c r="Q29" s="17">
        <f t="shared" si="5"/>
        <v>39.473684210526315</v>
      </c>
      <c r="R29" s="11">
        <v>0</v>
      </c>
      <c r="V29" s="11">
        <f t="shared" si="6"/>
        <v>196356.27530364372</v>
      </c>
      <c r="W29" s="11">
        <v>0</v>
      </c>
      <c r="Y29" s="18">
        <f t="shared" si="7"/>
        <v>26272.469635627531</v>
      </c>
      <c r="Z29" s="18">
        <f t="shared" si="8"/>
        <v>35.28</v>
      </c>
      <c r="AB29" s="19">
        <f t="shared" si="9"/>
        <v>366902.83400809718</v>
      </c>
      <c r="AD29" s="19">
        <f t="shared" si="10"/>
        <v>74.753684210526316</v>
      </c>
      <c r="AE29" s="19">
        <f t="shared" si="12"/>
        <v>836.36363636363626</v>
      </c>
      <c r="AF29" s="19">
        <f>(AF28+AD29)/(1+(A29-1989)*0.004)</f>
        <v>875.70914278130488</v>
      </c>
      <c r="AG29" s="19">
        <f t="shared" si="13"/>
        <v>2863.5957894736844</v>
      </c>
    </row>
    <row r="30" spans="1:33">
      <c r="A30" s="11">
        <f t="shared" si="11"/>
        <v>2015</v>
      </c>
      <c r="D30" s="11" t="s">
        <v>14</v>
      </c>
      <c r="F30" s="13">
        <v>3000</v>
      </c>
      <c r="L30" s="11">
        <f>1000*0.46</f>
        <v>460</v>
      </c>
      <c r="N30" s="14">
        <f t="shared" ref="N30:N31" si="14">337000*3000/3952</f>
        <v>255819.83805668016</v>
      </c>
      <c r="P30" s="15">
        <f>337000*0.057*3000/3952</f>
        <v>14581.73076923077</v>
      </c>
      <c r="Q30" s="17">
        <f>78*3000/3952</f>
        <v>59.210526315789473</v>
      </c>
      <c r="R30" s="11">
        <v>0</v>
      </c>
      <c r="V30" s="11">
        <f>388000*3000/3952</f>
        <v>294534.41295546561</v>
      </c>
      <c r="W30" s="11">
        <v>0</v>
      </c>
      <c r="Y30" s="18">
        <f>388000*0.1338*3000/3952</f>
        <v>39408.704453441293</v>
      </c>
      <c r="Z30" s="18">
        <f>V30*(180/1000000)</f>
        <v>53.016194331983812</v>
      </c>
      <c r="AB30" s="19">
        <f t="shared" si="9"/>
        <v>550354.25101214577</v>
      </c>
      <c r="AD30" s="19">
        <f t="shared" si="10"/>
        <v>112.22672064777328</v>
      </c>
      <c r="AE30" s="19">
        <f>(920/((1+(A30-1989)*0.004)))+(460/(1+(A30-2015)*0.004))</f>
        <v>1293.3333333333333</v>
      </c>
      <c r="AF30" s="19">
        <f>(AF29+AD30)/(1+(A30-1989)*0.004)</f>
        <v>894.86944151184605</v>
      </c>
      <c r="AG30" s="19">
        <f t="shared" si="13"/>
        <v>2975.8225101214575</v>
      </c>
    </row>
    <row r="31" spans="1:33">
      <c r="A31" s="11">
        <f t="shared" si="11"/>
        <v>2016</v>
      </c>
      <c r="L31" s="11"/>
      <c r="N31" s="14">
        <f t="shared" si="14"/>
        <v>255819.83805668016</v>
      </c>
      <c r="P31" s="15">
        <f>337000*0.057*3000/3952</f>
        <v>14581.73076923077</v>
      </c>
      <c r="Q31" s="17">
        <f>78*3000/3952</f>
        <v>59.210526315789473</v>
      </c>
      <c r="R31" s="11">
        <v>0</v>
      </c>
      <c r="V31" s="11">
        <f>388000*3000/3952</f>
        <v>294534.41295546561</v>
      </c>
      <c r="W31" s="11">
        <v>0</v>
      </c>
      <c r="Y31" s="18">
        <f>388000*0.1338*3000/3952</f>
        <v>39408.704453441293</v>
      </c>
      <c r="Z31" s="18">
        <f t="shared" ref="Z31:Z32" si="15">V31*(180/1000000)</f>
        <v>53.016194331983812</v>
      </c>
      <c r="AB31" s="19">
        <f t="shared" si="9"/>
        <v>550354.25101214577</v>
      </c>
      <c r="AD31" s="19">
        <f t="shared" si="10"/>
        <v>112.22672064777328</v>
      </c>
      <c r="AE31" s="19">
        <f>(920/((1+(A31-1989)*0.004)))+(460/(1+(A31-2015)*0.004))</f>
        <v>1288.4922404245833</v>
      </c>
      <c r="AF31" s="19">
        <f>(AF30+AD31)/(1+(A31-1989)*0.004)</f>
        <v>908.93155429568526</v>
      </c>
      <c r="AG31" s="19">
        <f t="shared" si="13"/>
        <v>3088.0492307692307</v>
      </c>
    </row>
    <row r="32" spans="1:33">
      <c r="A32" s="11">
        <f t="shared" si="11"/>
        <v>2017</v>
      </c>
      <c r="D32" s="11" t="s">
        <v>15</v>
      </c>
      <c r="E32" s="11"/>
      <c r="F32" s="11">
        <v>3952</v>
      </c>
      <c r="L32" s="19">
        <f>952*0.46</f>
        <v>437.92</v>
      </c>
      <c r="N32" s="14">
        <v>337000</v>
      </c>
      <c r="P32" s="15">
        <v>19218</v>
      </c>
      <c r="Q32" s="17">
        <v>78</v>
      </c>
      <c r="R32" s="11">
        <v>0</v>
      </c>
      <c r="V32" s="11">
        <v>388000</v>
      </c>
      <c r="W32" s="11">
        <v>0</v>
      </c>
      <c r="Y32" s="18">
        <v>51972</v>
      </c>
      <c r="Z32" s="18">
        <f t="shared" si="15"/>
        <v>69.84</v>
      </c>
      <c r="AB32" s="19">
        <f t="shared" si="9"/>
        <v>725000</v>
      </c>
      <c r="AD32" s="19">
        <f t="shared" si="10"/>
        <v>147.84</v>
      </c>
      <c r="AE32" s="19">
        <f>(920/((1+(A32-1989)*0.004)))+(460/(1+(A32-2015)*0.004))+(438/(1+(A34-2017)*0.004))</f>
        <v>1718.2111453694188</v>
      </c>
      <c r="AF32" s="19">
        <f>(AF31+AD32)/(1+(A32-1989)*0.004)</f>
        <v>950.33413156086795</v>
      </c>
      <c r="AG32" s="19">
        <f t="shared" si="13"/>
        <v>3235.8892307692308</v>
      </c>
    </row>
    <row r="33" spans="1:33">
      <c r="A33" s="11">
        <f t="shared" si="11"/>
        <v>2018</v>
      </c>
      <c r="N33" s="14">
        <v>337000</v>
      </c>
      <c r="P33" s="15">
        <v>19218</v>
      </c>
      <c r="Q33" s="17">
        <v>78</v>
      </c>
      <c r="R33" s="11">
        <v>0</v>
      </c>
      <c r="V33" s="11">
        <v>388000</v>
      </c>
      <c r="W33" s="11">
        <v>0</v>
      </c>
      <c r="Y33" s="18">
        <v>51972</v>
      </c>
      <c r="Z33" s="18">
        <f>V33*(180/1000000)</f>
        <v>69.84</v>
      </c>
      <c r="AB33" s="19">
        <f t="shared" si="9"/>
        <v>725000</v>
      </c>
      <c r="AD33" s="19">
        <f t="shared" si="10"/>
        <v>147.84</v>
      </c>
      <c r="AE33" s="19">
        <f t="shared" ref="AE33:AE34" si="16">(920/((1+(A33-1989)*0.004)))+(460/(1+(A33-2015)*0.004))+(438/(1+(A35-2017)*0.004))</f>
        <v>1711.7245385127574</v>
      </c>
      <c r="AF33" s="19">
        <f>(AF32+AD33)/(1+(A33-1989)*0.004)</f>
        <v>984.02699960651228</v>
      </c>
      <c r="AG33" s="19">
        <f t="shared" si="13"/>
        <v>3383.729230769231</v>
      </c>
    </row>
    <row r="34" spans="1:33" ht="14">
      <c r="A34" s="11">
        <f t="shared" si="11"/>
        <v>2019</v>
      </c>
      <c r="N34" s="6">
        <v>221509</v>
      </c>
      <c r="P34" s="15">
        <f>N34*0.057</f>
        <v>12626.013000000001</v>
      </c>
      <c r="Q34" s="17">
        <f>N34*230/1000000</f>
        <v>50.947069999999997</v>
      </c>
      <c r="R34" s="6">
        <v>0</v>
      </c>
      <c r="V34" s="8">
        <v>413298</v>
      </c>
      <c r="W34" s="11">
        <v>0</v>
      </c>
      <c r="Y34" s="18">
        <f>V34*0.1338</f>
        <v>55299.272400000002</v>
      </c>
      <c r="Z34" s="18">
        <f t="shared" ref="Z34:Z36" si="17">V34*(180/1000000)</f>
        <v>74.393640000000005</v>
      </c>
      <c r="AB34" s="19">
        <f t="shared" si="9"/>
        <v>634807</v>
      </c>
      <c r="AD34" s="19">
        <f t="shared" si="10"/>
        <v>125.34071</v>
      </c>
      <c r="AE34" s="19">
        <f t="shared" si="16"/>
        <v>1705.2868391451068</v>
      </c>
      <c r="AF34" s="19">
        <f>(AF33+AD34)/(1+(A34-1989)*0.004)</f>
        <v>990.50688357724312</v>
      </c>
      <c r="AG34" s="19">
        <f t="shared" si="13"/>
        <v>3509.0699407692309</v>
      </c>
    </row>
    <row r="35" spans="1:33" ht="14">
      <c r="A35" s="11">
        <f t="shared" si="11"/>
        <v>2020</v>
      </c>
      <c r="N35" s="6">
        <v>369882</v>
      </c>
      <c r="P35" s="15">
        <f t="shared" ref="P35:P36" si="18">N35*0.057</f>
        <v>21083.274000000001</v>
      </c>
      <c r="Q35" s="17">
        <f t="shared" ref="Q35:Q36" si="19">N35*230/1000000</f>
        <v>85.072860000000006</v>
      </c>
      <c r="R35" s="6">
        <v>0</v>
      </c>
      <c r="V35" s="8">
        <v>301834</v>
      </c>
      <c r="W35" s="11">
        <v>0</v>
      </c>
      <c r="Y35" s="18">
        <f t="shared" ref="Y35:Y36" si="20">V35*0.1338</f>
        <v>40385.389199999998</v>
      </c>
      <c r="Z35" s="18">
        <f t="shared" si="17"/>
        <v>54.330120000000001</v>
      </c>
      <c r="AB35" s="19">
        <f t="shared" si="9"/>
        <v>671716</v>
      </c>
      <c r="AD35" s="19">
        <f t="shared" si="10"/>
        <v>139.40298000000001</v>
      </c>
      <c r="AE35" s="19">
        <f>(920/((1+(A35-1989)*0.004)))+(460/(1+(A35-2015)*0.004))+(438/(1+(A35-2017)*0.004))</f>
        <v>1702.2920543458265</v>
      </c>
      <c r="AF35" s="19">
        <f>(AF34+AD35)/(1+(A35-1989)*0.004)</f>
        <v>1005.2578857448782</v>
      </c>
      <c r="AG35" s="19">
        <f t="shared" si="13"/>
        <v>3648.4729207692308</v>
      </c>
    </row>
    <row r="36" spans="1:33" ht="14">
      <c r="A36" s="11">
        <f t="shared" si="11"/>
        <v>2021</v>
      </c>
      <c r="N36" s="6">
        <v>420096</v>
      </c>
      <c r="P36" s="15">
        <f t="shared" si="18"/>
        <v>23945.472000000002</v>
      </c>
      <c r="Q36" s="17">
        <f t="shared" si="19"/>
        <v>96.622079999999997</v>
      </c>
      <c r="R36" s="6">
        <v>0</v>
      </c>
      <c r="V36" s="8">
        <v>450162</v>
      </c>
      <c r="W36" s="11">
        <v>0</v>
      </c>
      <c r="Y36" s="18">
        <f t="shared" si="20"/>
        <v>60231.675600000002</v>
      </c>
      <c r="Z36" s="18">
        <f t="shared" si="17"/>
        <v>81.029160000000005</v>
      </c>
      <c r="AB36" s="19">
        <f t="shared" si="9"/>
        <v>870258</v>
      </c>
      <c r="AD36" s="19">
        <f t="shared" si="10"/>
        <v>177.65124</v>
      </c>
      <c r="AE36" s="19">
        <f>(920/((1+(A36-1989)*0.004)))+(460/(1+(A36-2015)*0.004))+(438/(1+(A35-2017)*0.004))</f>
        <v>1697.6279109901045</v>
      </c>
      <c r="AF36" s="19">
        <f>(AF35+AD36)/(1+(A36-1989)*0.004)</f>
        <v>1048.6783029653175</v>
      </c>
      <c r="AG36" s="19">
        <f t="shared" si="13"/>
        <v>3826.1241607692309</v>
      </c>
    </row>
    <row r="37" spans="1:33">
      <c r="A37" s="11">
        <f t="shared" si="11"/>
        <v>2022</v>
      </c>
    </row>
    <row r="42" spans="1:33">
      <c r="AF42" s="16"/>
    </row>
  </sheetData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maison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Jean-Michel Vincent</dc:creator>
  <cp:lastModifiedBy>Jean-Michel Vincent</cp:lastModifiedBy>
  <dcterms:created xsi:type="dcterms:W3CDTF">2023-05-08T06:31:35Z</dcterms:created>
  <dcterms:modified xsi:type="dcterms:W3CDTF">2023-11-06T09:25:11Z</dcterms:modified>
</cp:coreProperties>
</file>