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an-michelvincent/Desktop/cacp age  21 et PNR/Données Cergy/20230614 Cergy analyse stratégique et opérationnelle/"/>
    </mc:Choice>
  </mc:AlternateContent>
  <xr:revisionPtr revIDLastSave="0" documentId="13_ncr:1_{3605564C-5BA8-6C44-A854-C8194478A543}" xr6:coauthVersionLast="47" xr6:coauthVersionMax="47" xr10:uidLastSave="{00000000-0000-0000-0000-000000000000}"/>
  <bookViews>
    <workbookView xWindow="1600" yWindow="460" windowWidth="27320" windowHeight="13940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23" i="1" l="1"/>
  <c r="K223" i="1" s="1"/>
  <c r="P223" i="1"/>
  <c r="Q223" i="1" s="1"/>
  <c r="V223" i="1"/>
  <c r="W223" i="1" s="1"/>
  <c r="V230" i="1"/>
  <c r="W230" i="1" s="1"/>
  <c r="P230" i="1"/>
  <c r="R230" i="1" s="1"/>
  <c r="J230" i="1"/>
  <c r="V229" i="1"/>
  <c r="W229" i="1" s="1"/>
  <c r="P229" i="1"/>
  <c r="R229" i="1" s="1"/>
  <c r="J229" i="1"/>
  <c r="V228" i="1"/>
  <c r="X228" i="1" s="1"/>
  <c r="P228" i="1"/>
  <c r="R228" i="1" s="1"/>
  <c r="J228" i="1"/>
  <c r="V227" i="1"/>
  <c r="X227" i="1" s="1"/>
  <c r="P227" i="1"/>
  <c r="R227" i="1" s="1"/>
  <c r="J227" i="1"/>
  <c r="V226" i="1"/>
  <c r="X226" i="1" s="1"/>
  <c r="P226" i="1"/>
  <c r="Q226" i="1" s="1"/>
  <c r="J226" i="1"/>
  <c r="L226" i="1" s="1"/>
  <c r="V225" i="1"/>
  <c r="X225" i="1" s="1"/>
  <c r="P225" i="1"/>
  <c r="Q225" i="1" s="1"/>
  <c r="J225" i="1"/>
  <c r="V224" i="1"/>
  <c r="X224" i="1" s="1"/>
  <c r="P224" i="1"/>
  <c r="Q224" i="1" s="1"/>
  <c r="J224" i="1"/>
  <c r="L224" i="1" s="1"/>
  <c r="V222" i="1"/>
  <c r="X222" i="1" s="1"/>
  <c r="P222" i="1"/>
  <c r="R222" i="1" s="1"/>
  <c r="J222" i="1"/>
  <c r="V221" i="1"/>
  <c r="W221" i="1" s="1"/>
  <c r="P221" i="1"/>
  <c r="J221" i="1"/>
  <c r="L221" i="1" s="1"/>
  <c r="V220" i="1"/>
  <c r="W220" i="1" s="1"/>
  <c r="P220" i="1"/>
  <c r="R220" i="1" s="1"/>
  <c r="J220" i="1"/>
  <c r="V216" i="1"/>
  <c r="X216" i="1" s="1"/>
  <c r="P216" i="1"/>
  <c r="R216" i="1" s="1"/>
  <c r="J216" i="1"/>
  <c r="V215" i="1"/>
  <c r="W215" i="1" s="1"/>
  <c r="P215" i="1"/>
  <c r="R215" i="1" s="1"/>
  <c r="J215" i="1"/>
  <c r="L215" i="1" s="1"/>
  <c r="V207" i="1"/>
  <c r="X207" i="1" s="1"/>
  <c r="P207" i="1"/>
  <c r="R207" i="1" s="1"/>
  <c r="J207" i="1"/>
  <c r="AC206" i="1"/>
  <c r="P206" i="1"/>
  <c r="Q206" i="1" s="1"/>
  <c r="J206" i="1"/>
  <c r="L206" i="1" s="1"/>
  <c r="AC205" i="1"/>
  <c r="P205" i="1"/>
  <c r="R205" i="1" s="1"/>
  <c r="J205" i="1"/>
  <c r="L205" i="1" s="1"/>
  <c r="V204" i="1"/>
  <c r="X204" i="1" s="1"/>
  <c r="P204" i="1"/>
  <c r="R204" i="1" s="1"/>
  <c r="J204" i="1"/>
  <c r="V203" i="1"/>
  <c r="X203" i="1" s="1"/>
  <c r="P203" i="1"/>
  <c r="R203" i="1" s="1"/>
  <c r="J203" i="1"/>
  <c r="V202" i="1"/>
  <c r="X202" i="1" s="1"/>
  <c r="P202" i="1"/>
  <c r="R202" i="1" s="1"/>
  <c r="J202" i="1"/>
  <c r="F202" i="1"/>
  <c r="V201" i="1"/>
  <c r="X201" i="1" s="1"/>
  <c r="P201" i="1"/>
  <c r="R201" i="1" s="1"/>
  <c r="J201" i="1"/>
  <c r="E191" i="1"/>
  <c r="E190" i="1"/>
  <c r="D136" i="1"/>
  <c r="AF93" i="1"/>
  <c r="AE93" i="1"/>
  <c r="F123" i="1"/>
  <c r="J164" i="1" s="1"/>
  <c r="D176" i="1" s="1"/>
  <c r="F118" i="1"/>
  <c r="J157" i="1" s="1"/>
  <c r="D175" i="1" s="1"/>
  <c r="V121" i="1"/>
  <c r="X121" i="1" s="1"/>
  <c r="P121" i="1"/>
  <c r="R121" i="1" s="1"/>
  <c r="J121" i="1"/>
  <c r="V122" i="1"/>
  <c r="X122" i="1" s="1"/>
  <c r="P122" i="1"/>
  <c r="R122" i="1" s="1"/>
  <c r="J122" i="1"/>
  <c r="F93" i="1"/>
  <c r="J94" i="1"/>
  <c r="K94" i="1" s="1"/>
  <c r="P94" i="1"/>
  <c r="Q94" i="1" s="1"/>
  <c r="V94" i="1"/>
  <c r="W94" i="1" s="1"/>
  <c r="J95" i="1"/>
  <c r="K95" i="1" s="1"/>
  <c r="P95" i="1"/>
  <c r="R95" i="1" s="1"/>
  <c r="V95" i="1"/>
  <c r="W95" i="1" s="1"/>
  <c r="J96" i="1"/>
  <c r="K96" i="1" s="1"/>
  <c r="P96" i="1"/>
  <c r="R96" i="1" s="1"/>
  <c r="V96" i="1"/>
  <c r="W96" i="1" s="1"/>
  <c r="J97" i="1"/>
  <c r="K97" i="1" s="1"/>
  <c r="P97" i="1"/>
  <c r="R97" i="1" s="1"/>
  <c r="V97" i="1"/>
  <c r="W97" i="1" s="1"/>
  <c r="J98" i="1"/>
  <c r="K98" i="1" s="1"/>
  <c r="P98" i="1"/>
  <c r="R98" i="1" s="1"/>
  <c r="V98" i="1"/>
  <c r="W98" i="1" s="1"/>
  <c r="F99" i="1"/>
  <c r="J100" i="1"/>
  <c r="L100" i="1" s="1"/>
  <c r="P100" i="1"/>
  <c r="Q100" i="1" s="1"/>
  <c r="V100" i="1"/>
  <c r="W100" i="1" s="1"/>
  <c r="J101" i="1"/>
  <c r="K101" i="1" s="1"/>
  <c r="P101" i="1"/>
  <c r="Q101" i="1" s="1"/>
  <c r="V101" i="1"/>
  <c r="X101" i="1" s="1"/>
  <c r="J102" i="1"/>
  <c r="L102" i="1" s="1"/>
  <c r="P102" i="1"/>
  <c r="Q102" i="1" s="1"/>
  <c r="V102" i="1"/>
  <c r="W102" i="1" s="1"/>
  <c r="F103" i="1"/>
  <c r="F111" i="1" s="1"/>
  <c r="J103" i="1"/>
  <c r="K103" i="1" s="1"/>
  <c r="P103" i="1"/>
  <c r="Q103" i="1" s="1"/>
  <c r="V103" i="1"/>
  <c r="W103" i="1" s="1"/>
  <c r="J104" i="1"/>
  <c r="K104" i="1" s="1"/>
  <c r="P104" i="1"/>
  <c r="R104" i="1" s="1"/>
  <c r="V104" i="1"/>
  <c r="W104" i="1" s="1"/>
  <c r="J105" i="1"/>
  <c r="K105" i="1" s="1"/>
  <c r="P105" i="1"/>
  <c r="Q105" i="1" s="1"/>
  <c r="V105" i="1"/>
  <c r="W105" i="1" s="1"/>
  <c r="J106" i="1"/>
  <c r="K106" i="1" s="1"/>
  <c r="P106" i="1"/>
  <c r="R106" i="1" s="1"/>
  <c r="V106" i="1"/>
  <c r="W106" i="1" s="1"/>
  <c r="J107" i="1"/>
  <c r="K107" i="1" s="1"/>
  <c r="P107" i="1"/>
  <c r="Q107" i="1" s="1"/>
  <c r="V107" i="1"/>
  <c r="W107" i="1" s="1"/>
  <c r="J108" i="1"/>
  <c r="K108" i="1" s="1"/>
  <c r="P108" i="1"/>
  <c r="R108" i="1" s="1"/>
  <c r="V108" i="1"/>
  <c r="W108" i="1" s="1"/>
  <c r="J109" i="1"/>
  <c r="K109" i="1" s="1"/>
  <c r="P109" i="1"/>
  <c r="Q109" i="1" s="1"/>
  <c r="V109" i="1"/>
  <c r="W109" i="1" s="1"/>
  <c r="J110" i="1"/>
  <c r="K110" i="1" s="1"/>
  <c r="P110" i="1"/>
  <c r="R110" i="1" s="1"/>
  <c r="V110" i="1"/>
  <c r="W110" i="1" s="1"/>
  <c r="J115" i="1"/>
  <c r="L115" i="1" s="1"/>
  <c r="P115" i="1"/>
  <c r="Q115" i="1" s="1"/>
  <c r="J116" i="1"/>
  <c r="L116" i="1" s="1"/>
  <c r="P116" i="1"/>
  <c r="Q116" i="1" s="1"/>
  <c r="J117" i="1"/>
  <c r="L117" i="1" s="1"/>
  <c r="P117" i="1"/>
  <c r="Q117" i="1" s="1"/>
  <c r="V117" i="1"/>
  <c r="W117" i="1" s="1"/>
  <c r="J131" i="1"/>
  <c r="K131" i="1" s="1"/>
  <c r="P131" i="1"/>
  <c r="Q131" i="1" s="1"/>
  <c r="V131" i="1"/>
  <c r="X131" i="1" s="1"/>
  <c r="R223" i="1" l="1"/>
  <c r="AB223" i="1"/>
  <c r="AC223" i="1" s="1"/>
  <c r="X223" i="1"/>
  <c r="Z223" i="1"/>
  <c r="L223" i="1"/>
  <c r="Y223" i="1"/>
  <c r="R226" i="1"/>
  <c r="W228" i="1"/>
  <c r="Q215" i="1"/>
  <c r="X220" i="1"/>
  <c r="Y204" i="1"/>
  <c r="X230" i="1"/>
  <c r="K221" i="1"/>
  <c r="Y228" i="1"/>
  <c r="Y230" i="1"/>
  <c r="E193" i="1"/>
  <c r="Y221" i="1"/>
  <c r="X215" i="1"/>
  <c r="AA215" i="1" s="1"/>
  <c r="Y220" i="1"/>
  <c r="W222" i="1"/>
  <c r="AB225" i="1"/>
  <c r="AC225" i="1" s="1"/>
  <c r="Y227" i="1"/>
  <c r="Y203" i="1"/>
  <c r="Y207" i="1"/>
  <c r="Y216" i="1"/>
  <c r="K225" i="1"/>
  <c r="Y202" i="1"/>
  <c r="R224" i="1"/>
  <c r="AA224" i="1" s="1"/>
  <c r="Q205" i="1"/>
  <c r="K206" i="1"/>
  <c r="L216" i="1"/>
  <c r="AA216" i="1" s="1"/>
  <c r="AB221" i="1"/>
  <c r="AC221" i="1" s="1"/>
  <c r="Q221" i="1"/>
  <c r="Y222" i="1"/>
  <c r="W224" i="1"/>
  <c r="L225" i="1"/>
  <c r="W226" i="1"/>
  <c r="AB229" i="1"/>
  <c r="AC229" i="1" s="1"/>
  <c r="Q229" i="1"/>
  <c r="Y201" i="1"/>
  <c r="R221" i="1"/>
  <c r="W227" i="1"/>
  <c r="K229" i="1"/>
  <c r="L207" i="1"/>
  <c r="AA207" i="1" s="1"/>
  <c r="L229" i="1"/>
  <c r="Q201" i="1"/>
  <c r="L202" i="1"/>
  <c r="AA202" i="1" s="1"/>
  <c r="L203" i="1"/>
  <c r="AA203" i="1" s="1"/>
  <c r="L204" i="1"/>
  <c r="AA204" i="1" s="1"/>
  <c r="R206" i="1"/>
  <c r="AA226" i="1"/>
  <c r="AB220" i="1"/>
  <c r="AC220" i="1" s="1"/>
  <c r="L220" i="1"/>
  <c r="X221" i="1"/>
  <c r="L222" i="1"/>
  <c r="AA222" i="1" s="1"/>
  <c r="R225" i="1"/>
  <c r="Y225" i="1"/>
  <c r="L227" i="1"/>
  <c r="AA227" i="1" s="1"/>
  <c r="L228" i="1"/>
  <c r="AA228" i="1" s="1"/>
  <c r="X229" i="1"/>
  <c r="L230" i="1"/>
  <c r="AB224" i="1"/>
  <c r="AC224" i="1" s="1"/>
  <c r="AB226" i="1"/>
  <c r="AC226" i="1" s="1"/>
  <c r="Y229" i="1"/>
  <c r="Q222" i="1"/>
  <c r="K224" i="1"/>
  <c r="Y224" i="1"/>
  <c r="W225" i="1"/>
  <c r="K226" i="1"/>
  <c r="Z226" i="1" s="1"/>
  <c r="Y226" i="1"/>
  <c r="Q227" i="1"/>
  <c r="AB227" i="1"/>
  <c r="AC227" i="1" s="1"/>
  <c r="Q228" i="1"/>
  <c r="AB228" i="1"/>
  <c r="AC228" i="1" s="1"/>
  <c r="Q230" i="1"/>
  <c r="AB230" i="1"/>
  <c r="AC230" i="1" s="1"/>
  <c r="Q220" i="1"/>
  <c r="AB222" i="1"/>
  <c r="AC222" i="1" s="1"/>
  <c r="K220" i="1"/>
  <c r="K222" i="1"/>
  <c r="K227" i="1"/>
  <c r="K228" i="1"/>
  <c r="K230" i="1"/>
  <c r="AB215" i="1"/>
  <c r="AC215" i="1" s="1"/>
  <c r="K215" i="1"/>
  <c r="Z215" i="1" s="1"/>
  <c r="Y215" i="1"/>
  <c r="W216" i="1"/>
  <c r="Q216" i="1"/>
  <c r="AB216" i="1"/>
  <c r="AC216" i="1" s="1"/>
  <c r="K216" i="1"/>
  <c r="K205" i="1"/>
  <c r="W207" i="1"/>
  <c r="Q207" i="1"/>
  <c r="AB207" i="1"/>
  <c r="AC207" i="1" s="1"/>
  <c r="K207" i="1"/>
  <c r="W204" i="1"/>
  <c r="Q204" i="1"/>
  <c r="AB204" i="1"/>
  <c r="AC204" i="1" s="1"/>
  <c r="K204" i="1"/>
  <c r="W203" i="1"/>
  <c r="Q203" i="1"/>
  <c r="AB203" i="1"/>
  <c r="AC203" i="1" s="1"/>
  <c r="K203" i="1"/>
  <c r="W202" i="1"/>
  <c r="Q202" i="1"/>
  <c r="AB202" i="1"/>
  <c r="AC202" i="1" s="1"/>
  <c r="K202" i="1"/>
  <c r="L201" i="1"/>
  <c r="AA201" i="1" s="1"/>
  <c r="W201" i="1"/>
  <c r="AB201" i="1"/>
  <c r="AC201" i="1" s="1"/>
  <c r="K201" i="1"/>
  <c r="F167" i="1"/>
  <c r="F159" i="1"/>
  <c r="F126" i="1"/>
  <c r="F112" i="1"/>
  <c r="F147" i="1" s="1"/>
  <c r="Y121" i="1"/>
  <c r="Y122" i="1"/>
  <c r="L131" i="1"/>
  <c r="K117" i="1"/>
  <c r="Z117" i="1" s="1"/>
  <c r="L122" i="1"/>
  <c r="AA122" i="1" s="1"/>
  <c r="L121" i="1"/>
  <c r="AA121" i="1" s="1"/>
  <c r="X97" i="1"/>
  <c r="Q95" i="1"/>
  <c r="Z95" i="1" s="1"/>
  <c r="L94" i="1"/>
  <c r="W121" i="1"/>
  <c r="Q121" i="1"/>
  <c r="AB121" i="1"/>
  <c r="AC121" i="1" s="1"/>
  <c r="K121" i="1"/>
  <c r="W122" i="1"/>
  <c r="Q122" i="1"/>
  <c r="AB122" i="1"/>
  <c r="AC122" i="1" s="1"/>
  <c r="K122" i="1"/>
  <c r="R103" i="1"/>
  <c r="R105" i="1"/>
  <c r="L101" i="1"/>
  <c r="R107" i="1"/>
  <c r="K100" i="1"/>
  <c r="Z100" i="1" s="1"/>
  <c r="Q98" i="1"/>
  <c r="Z98" i="1" s="1"/>
  <c r="X95" i="1"/>
  <c r="X117" i="1"/>
  <c r="R109" i="1"/>
  <c r="X100" i="1"/>
  <c r="Q97" i="1"/>
  <c r="Z97" i="1" s="1"/>
  <c r="Q96" i="1"/>
  <c r="Z96" i="1" s="1"/>
  <c r="K116" i="1"/>
  <c r="L110" i="1"/>
  <c r="L108" i="1"/>
  <c r="L106" i="1"/>
  <c r="L104" i="1"/>
  <c r="AB95" i="1"/>
  <c r="AC95" i="1" s="1"/>
  <c r="W131" i="1"/>
  <c r="Z131" i="1" s="1"/>
  <c r="R116" i="1"/>
  <c r="W101" i="1"/>
  <c r="Z101" i="1" s="1"/>
  <c r="AB97" i="1"/>
  <c r="AC97" i="1" s="1"/>
  <c r="Y101" i="1"/>
  <c r="K115" i="1"/>
  <c r="Q110" i="1"/>
  <c r="Z110" i="1" s="1"/>
  <c r="AB109" i="1"/>
  <c r="AC109" i="1" s="1"/>
  <c r="Q108" i="1"/>
  <c r="Z108" i="1" s="1"/>
  <c r="AB107" i="1"/>
  <c r="AC107" i="1" s="1"/>
  <c r="Q106" i="1"/>
  <c r="Z106" i="1" s="1"/>
  <c r="AB105" i="1"/>
  <c r="AC105" i="1" s="1"/>
  <c r="Q104" i="1"/>
  <c r="Z104" i="1" s="1"/>
  <c r="AB103" i="1"/>
  <c r="AC103" i="1" s="1"/>
  <c r="X102" i="1"/>
  <c r="K102" i="1"/>
  <c r="Z102" i="1" s="1"/>
  <c r="L98" i="1"/>
  <c r="L96" i="1"/>
  <c r="Y131" i="1"/>
  <c r="R131" i="1"/>
  <c r="X109" i="1"/>
  <c r="X107" i="1"/>
  <c r="X105" i="1"/>
  <c r="X103" i="1"/>
  <c r="R101" i="1"/>
  <c r="AA101" i="1" s="1"/>
  <c r="Z109" i="1"/>
  <c r="Z107" i="1"/>
  <c r="Z105" i="1"/>
  <c r="Z103" i="1"/>
  <c r="Z94" i="1"/>
  <c r="AB131" i="1"/>
  <c r="AC131" i="1" s="1"/>
  <c r="AC116" i="1"/>
  <c r="Y110" i="1"/>
  <c r="Y108" i="1"/>
  <c r="Y106" i="1"/>
  <c r="Y104" i="1"/>
  <c r="AB101" i="1"/>
  <c r="AC101" i="1" s="1"/>
  <c r="Y98" i="1"/>
  <c r="Y96" i="1"/>
  <c r="Y94" i="1"/>
  <c r="R94" i="1"/>
  <c r="Y117" i="1"/>
  <c r="R117" i="1"/>
  <c r="R115" i="1"/>
  <c r="AB110" i="1"/>
  <c r="AC110" i="1" s="1"/>
  <c r="X110" i="1"/>
  <c r="L109" i="1"/>
  <c r="AB108" i="1"/>
  <c r="AC108" i="1" s="1"/>
  <c r="X108" i="1"/>
  <c r="L107" i="1"/>
  <c r="AB106" i="1"/>
  <c r="AC106" i="1" s="1"/>
  <c r="X106" i="1"/>
  <c r="L105" i="1"/>
  <c r="AB104" i="1"/>
  <c r="AC104" i="1" s="1"/>
  <c r="X104" i="1"/>
  <c r="L103" i="1"/>
  <c r="Y102" i="1"/>
  <c r="R102" i="1"/>
  <c r="Y100" i="1"/>
  <c r="R100" i="1"/>
  <c r="AB98" i="1"/>
  <c r="AC98" i="1" s="1"/>
  <c r="X98" i="1"/>
  <c r="L97" i="1"/>
  <c r="AB96" i="1"/>
  <c r="AC96" i="1" s="1"/>
  <c r="X96" i="1"/>
  <c r="L95" i="1"/>
  <c r="AB94" i="1"/>
  <c r="AC94" i="1" s="1"/>
  <c r="X94" i="1"/>
  <c r="AB117" i="1"/>
  <c r="AC117" i="1" s="1"/>
  <c r="AC115" i="1"/>
  <c r="Y109" i="1"/>
  <c r="Y107" i="1"/>
  <c r="Y105" i="1"/>
  <c r="Y103" i="1"/>
  <c r="AB102" i="1"/>
  <c r="AC102" i="1" s="1"/>
  <c r="AB100" i="1"/>
  <c r="AC100" i="1" s="1"/>
  <c r="Y97" i="1"/>
  <c r="Y95" i="1"/>
  <c r="AA223" i="1" l="1"/>
  <c r="AA220" i="1"/>
  <c r="Z225" i="1"/>
  <c r="Z221" i="1"/>
  <c r="AA225" i="1"/>
  <c r="Z228" i="1"/>
  <c r="AA230" i="1"/>
  <c r="Z229" i="1"/>
  <c r="Z204" i="1"/>
  <c r="Z224" i="1"/>
  <c r="AA229" i="1"/>
  <c r="Z207" i="1"/>
  <c r="AA221" i="1"/>
  <c r="Z230" i="1"/>
  <c r="Z222" i="1"/>
  <c r="Z220" i="1"/>
  <c r="Z227" i="1"/>
  <c r="Z216" i="1"/>
  <c r="Z203" i="1"/>
  <c r="Z202" i="1"/>
  <c r="Z201" i="1"/>
  <c r="AE99" i="1"/>
  <c r="AF99" i="1" s="1"/>
  <c r="AE112" i="1"/>
  <c r="AF112" i="1" s="1"/>
  <c r="AE111" i="1"/>
  <c r="AF111" i="1" s="1"/>
  <c r="AA131" i="1"/>
  <c r="AA95" i="1"/>
  <c r="AA97" i="1"/>
  <c r="AA103" i="1"/>
  <c r="AA105" i="1"/>
  <c r="Z121" i="1"/>
  <c r="Z122" i="1"/>
  <c r="AA96" i="1"/>
  <c r="AA108" i="1"/>
  <c r="AA100" i="1"/>
  <c r="AA106" i="1"/>
  <c r="AA109" i="1"/>
  <c r="AA110" i="1"/>
  <c r="AA117" i="1"/>
  <c r="AA104" i="1"/>
  <c r="AA98" i="1"/>
  <c r="AA102" i="1"/>
  <c r="AA107" i="1"/>
  <c r="AA94" i="1"/>
  <c r="F70" i="1" l="1"/>
  <c r="V21" i="1"/>
  <c r="X21" i="1" s="1"/>
  <c r="P21" i="1"/>
  <c r="R21" i="1" s="1"/>
  <c r="J21" i="1"/>
  <c r="L21" i="1" s="1"/>
  <c r="V10" i="1"/>
  <c r="W10" i="1" s="1"/>
  <c r="P10" i="1"/>
  <c r="R10" i="1" s="1"/>
  <c r="J10" i="1"/>
  <c r="L10" i="1" s="1"/>
  <c r="V22" i="1"/>
  <c r="W22" i="1" s="1"/>
  <c r="P22" i="1"/>
  <c r="R22" i="1" s="1"/>
  <c r="J22" i="1"/>
  <c r="V20" i="1"/>
  <c r="W20" i="1" s="1"/>
  <c r="P20" i="1"/>
  <c r="R20" i="1" s="1"/>
  <c r="J20" i="1"/>
  <c r="AA21" i="1" l="1"/>
  <c r="Y22" i="1"/>
  <c r="Y10" i="1"/>
  <c r="Y21" i="1"/>
  <c r="W21" i="1"/>
  <c r="Q21" i="1"/>
  <c r="AB21" i="1"/>
  <c r="AC21" i="1" s="1"/>
  <c r="K21" i="1"/>
  <c r="Q10" i="1"/>
  <c r="X10" i="1"/>
  <c r="AA10" i="1" s="1"/>
  <c r="AB10" i="1"/>
  <c r="AC10" i="1" s="1"/>
  <c r="K10" i="1"/>
  <c r="Y20" i="1"/>
  <c r="L20" i="1"/>
  <c r="L22" i="1"/>
  <c r="Q22" i="1"/>
  <c r="X22" i="1"/>
  <c r="AB22" i="1"/>
  <c r="AC22" i="1" s="1"/>
  <c r="K22" i="1"/>
  <c r="Q20" i="1"/>
  <c r="X20" i="1"/>
  <c r="AB20" i="1"/>
  <c r="AC20" i="1" s="1"/>
  <c r="K20" i="1"/>
  <c r="AA20" i="1" l="1"/>
  <c r="Z10" i="1"/>
  <c r="AA22" i="1"/>
  <c r="Z21" i="1"/>
  <c r="Z20" i="1"/>
  <c r="Z22" i="1"/>
  <c r="F11" i="1" l="1"/>
  <c r="F29" i="1" s="1"/>
  <c r="V19" i="1"/>
  <c r="X19" i="1" s="1"/>
  <c r="P19" i="1"/>
  <c r="R19" i="1" s="1"/>
  <c r="J19" i="1"/>
  <c r="L19" i="1" s="1"/>
  <c r="Y19" i="1" l="1"/>
  <c r="AA19" i="1"/>
  <c r="W19" i="1"/>
  <c r="Q19" i="1"/>
  <c r="AB19" i="1"/>
  <c r="AC19" i="1" s="1"/>
  <c r="K19" i="1"/>
  <c r="Z19" i="1" l="1"/>
  <c r="D54" i="1"/>
  <c r="F48" i="1"/>
  <c r="F49" i="1" l="1"/>
  <c r="F5" i="1" l="1"/>
  <c r="J18" i="1"/>
  <c r="L18" i="1" s="1"/>
  <c r="P18" i="1"/>
  <c r="R18" i="1" s="1"/>
  <c r="V18" i="1"/>
  <c r="X18" i="1" s="1"/>
  <c r="J14" i="1"/>
  <c r="P14" i="1"/>
  <c r="V14" i="1"/>
  <c r="X14" i="1" s="1"/>
  <c r="J9" i="1"/>
  <c r="L9" i="1" s="1"/>
  <c r="P9" i="1"/>
  <c r="V9" i="1"/>
  <c r="X9" i="1" s="1"/>
  <c r="J15" i="1"/>
  <c r="L15" i="1" s="1"/>
  <c r="P15" i="1"/>
  <c r="R15" i="1" s="1"/>
  <c r="V15" i="1"/>
  <c r="X15" i="1" s="1"/>
  <c r="F15" i="1"/>
  <c r="F23" i="1" s="1"/>
  <c r="F30" i="1" s="1"/>
  <c r="J13" i="1"/>
  <c r="P13" i="1"/>
  <c r="R13" i="1" s="1"/>
  <c r="V13" i="1"/>
  <c r="X13" i="1" s="1"/>
  <c r="J7" i="1"/>
  <c r="L7" i="1" s="1"/>
  <c r="P7" i="1"/>
  <c r="R7" i="1" s="1"/>
  <c r="V7" i="1"/>
  <c r="J12" i="1"/>
  <c r="P12" i="1"/>
  <c r="R12" i="1" s="1"/>
  <c r="V12" i="1"/>
  <c r="X12" i="1" s="1"/>
  <c r="J6" i="1"/>
  <c r="L6" i="1" s="1"/>
  <c r="P6" i="1"/>
  <c r="V6" i="1"/>
  <c r="J8" i="1"/>
  <c r="P8" i="1"/>
  <c r="R8" i="1" s="1"/>
  <c r="V8" i="1"/>
  <c r="X8" i="1" s="1"/>
  <c r="J16" i="1"/>
  <c r="P16" i="1"/>
  <c r="R16" i="1" s="1"/>
  <c r="V16" i="1"/>
  <c r="X16" i="1" s="1"/>
  <c r="J17" i="1"/>
  <c r="L17" i="1" s="1"/>
  <c r="P17" i="1"/>
  <c r="R17" i="1" s="1"/>
  <c r="V17" i="1"/>
  <c r="X17" i="1" s="1"/>
  <c r="F24" i="1" l="1"/>
  <c r="F28" i="1"/>
  <c r="F31" i="1" s="1"/>
  <c r="V23" i="1"/>
  <c r="Q7" i="1"/>
  <c r="Q8" i="1"/>
  <c r="Q18" i="1"/>
  <c r="W8" i="1"/>
  <c r="K6" i="1"/>
  <c r="AB8" i="1"/>
  <c r="AC8" i="1" s="1"/>
  <c r="Q15" i="1"/>
  <c r="Q16" i="1"/>
  <c r="W16" i="1"/>
  <c r="AB16" i="1"/>
  <c r="AC16" i="1" s="1"/>
  <c r="K7" i="1"/>
  <c r="W18" i="1"/>
  <c r="AA15" i="1"/>
  <c r="W12" i="1"/>
  <c r="K9" i="1"/>
  <c r="Q12" i="1"/>
  <c r="AA18" i="1"/>
  <c r="AB14" i="1"/>
  <c r="AC14" i="1" s="1"/>
  <c r="Y6" i="1"/>
  <c r="K15" i="1"/>
  <c r="AB15" i="1"/>
  <c r="AC15" i="1" s="1"/>
  <c r="Y9" i="1"/>
  <c r="L14" i="1"/>
  <c r="AB18" i="1"/>
  <c r="AC18" i="1" s="1"/>
  <c r="K14" i="1"/>
  <c r="W17" i="1"/>
  <c r="W13" i="1"/>
  <c r="Y15" i="1"/>
  <c r="Y14" i="1"/>
  <c r="AA17" i="1"/>
  <c r="AB17" i="1"/>
  <c r="AC17" i="1" s="1"/>
  <c r="K16" i="1"/>
  <c r="Y17" i="1"/>
  <c r="K17" i="1"/>
  <c r="L8" i="1"/>
  <c r="AA8" i="1" s="1"/>
  <c r="K8" i="1"/>
  <c r="Y8" i="1"/>
  <c r="Q6" i="1"/>
  <c r="X6" i="1"/>
  <c r="W6" i="1"/>
  <c r="AB7" i="1"/>
  <c r="AC7" i="1" s="1"/>
  <c r="R14" i="1"/>
  <c r="Q14" i="1"/>
  <c r="L16" i="1"/>
  <c r="AA16" i="1" s="1"/>
  <c r="AB12" i="1"/>
  <c r="AC12" i="1" s="1"/>
  <c r="L12" i="1"/>
  <c r="AA12" i="1" s="1"/>
  <c r="K12" i="1"/>
  <c r="Y12" i="1"/>
  <c r="AB13" i="1"/>
  <c r="AC13" i="1" s="1"/>
  <c r="L13" i="1"/>
  <c r="AA13" i="1" s="1"/>
  <c r="K13" i="1"/>
  <c r="Y13" i="1"/>
  <c r="Y16" i="1"/>
  <c r="AB6" i="1"/>
  <c r="AC6" i="1" s="1"/>
  <c r="Y7" i="1"/>
  <c r="X7" i="1"/>
  <c r="AA7" i="1" s="1"/>
  <c r="W7" i="1"/>
  <c r="R9" i="1"/>
  <c r="AA9" i="1" s="1"/>
  <c r="Q9" i="1"/>
  <c r="R6" i="1"/>
  <c r="Q17" i="1"/>
  <c r="AB9" i="1"/>
  <c r="AC9" i="1" s="1"/>
  <c r="W15" i="1"/>
  <c r="Q13" i="1"/>
  <c r="W9" i="1"/>
  <c r="W14" i="1"/>
  <c r="Y18" i="1"/>
  <c r="K18" i="1"/>
  <c r="F135" i="1" l="1"/>
  <c r="F53" i="1"/>
  <c r="Y27" i="1"/>
  <c r="F32" i="1"/>
  <c r="F144" i="1" s="1"/>
  <c r="D173" i="1" s="1"/>
  <c r="I48" i="1"/>
  <c r="I49" i="1"/>
  <c r="X23" i="1"/>
  <c r="W23" i="1"/>
  <c r="W27" i="1" s="1"/>
  <c r="Z15" i="1"/>
  <c r="Z8" i="1"/>
  <c r="Z18" i="1"/>
  <c r="Z7" i="1"/>
  <c r="AA6" i="1"/>
  <c r="Z16" i="1"/>
  <c r="Z12" i="1"/>
  <c r="AA14" i="1"/>
  <c r="Z6" i="1"/>
  <c r="Z9" i="1"/>
  <c r="Z14" i="1"/>
  <c r="Z13" i="1"/>
  <c r="Z17" i="1"/>
  <c r="F56" i="1" l="1"/>
  <c r="G53" i="1"/>
  <c r="G172" i="1" s="1"/>
  <c r="F138" i="1"/>
  <c r="F140" i="1"/>
  <c r="G135" i="1"/>
  <c r="AA27" i="1"/>
  <c r="I37" i="1" s="1"/>
  <c r="Z27" i="1"/>
  <c r="H37" i="1" s="1"/>
  <c r="F58" i="1"/>
  <c r="G37" i="1"/>
  <c r="D172" i="1" l="1"/>
  <c r="D190" i="1"/>
  <c r="I39" i="1"/>
  <c r="H53" i="1"/>
  <c r="H172" i="1" s="1"/>
  <c r="I135" i="1"/>
  <c r="I53" i="1"/>
  <c r="H135" i="1"/>
  <c r="G39" i="1"/>
  <c r="G42" i="1" s="1"/>
  <c r="H39" i="1"/>
  <c r="H42" i="1" s="1"/>
  <c r="I172" i="1" l="1"/>
  <c r="I42" i="1"/>
  <c r="I147" i="1" s="1"/>
  <c r="I173" i="1" s="1"/>
  <c r="H147" i="1"/>
  <c r="H173" i="1" s="1"/>
  <c r="G44" i="1"/>
  <c r="G147" i="1"/>
  <c r="G190" i="1" s="1"/>
  <c r="H44" i="1"/>
  <c r="H61" i="1" s="1"/>
  <c r="H190" i="1" l="1"/>
  <c r="F190" i="1" s="1"/>
  <c r="I190" i="1"/>
  <c r="G173" i="1"/>
  <c r="AG112" i="1"/>
  <c r="AH112" i="1" s="1"/>
  <c r="G153" i="1" s="1"/>
  <c r="G174" i="1" s="1"/>
  <c r="I44" i="1"/>
  <c r="I61" i="1" s="1"/>
  <c r="F71" i="1" s="1"/>
  <c r="G61" i="1"/>
  <c r="G167" i="1" l="1"/>
  <c r="G176" i="1" s="1"/>
  <c r="G159" i="1"/>
  <c r="H159" i="1" s="1"/>
  <c r="H175" i="1" s="1"/>
  <c r="I153" i="1"/>
  <c r="I174" i="1" s="1"/>
  <c r="H153" i="1"/>
  <c r="H174" i="1" s="1"/>
  <c r="J151" i="1"/>
  <c r="D174" i="1" s="1"/>
  <c r="D178" i="1" s="1"/>
  <c r="H167" i="1" l="1"/>
  <c r="H176" i="1" s="1"/>
  <c r="H178" i="1" s="1"/>
  <c r="H186" i="1" s="1"/>
  <c r="F191" i="1" s="1"/>
  <c r="F193" i="1" s="1"/>
  <c r="G175" i="1"/>
  <c r="G178" i="1" s="1"/>
  <c r="D191" i="1"/>
  <c r="D193" i="1" s="1"/>
  <c r="D179" i="1"/>
  <c r="I159" i="1"/>
  <c r="I175" i="1" s="1"/>
  <c r="I167" i="1"/>
  <c r="I176" i="1" s="1"/>
  <c r="G186" i="1" l="1"/>
  <c r="G191" i="1" s="1"/>
  <c r="G193" i="1" s="1"/>
  <c r="G184" i="1"/>
  <c r="I178" i="1"/>
  <c r="I186" i="1" s="1"/>
  <c r="I191" i="1" s="1"/>
  <c r="I193" i="1" s="1"/>
  <c r="H191" i="1"/>
  <c r="H193" i="1" s="1"/>
</calcChain>
</file>

<file path=xl/sharedStrings.xml><?xml version="1.0" encoding="utf-8"?>
<sst xmlns="http://schemas.openxmlformats.org/spreadsheetml/2006/main" count="494" uniqueCount="206">
  <si>
    <t>Groupe scolaire</t>
    <phoneticPr fontId="2" type="noConversion"/>
  </si>
  <si>
    <t>2 niveaux moyen</t>
    <phoneticPr fontId="2" type="noConversion"/>
  </si>
  <si>
    <t>M2</t>
    <phoneticPr fontId="2" type="noConversion"/>
  </si>
  <si>
    <t>avec isolation Batipac sans surcharge ou presque.</t>
    <phoneticPr fontId="2" type="noConversion"/>
  </si>
  <si>
    <t>gain stockage carbone/laine de verre</t>
    <phoneticPr fontId="2" type="noConversion"/>
  </si>
  <si>
    <t>rue des Abysses</t>
  </si>
  <si>
    <t>Orée du Bois</t>
  </si>
  <si>
    <t xml:space="preserve">Rue des Chateaux Bruloirs </t>
  </si>
  <si>
    <t>Coteaux</t>
  </si>
  <si>
    <t>GROUPE SCOLAIRE GS JUSTICE</t>
  </si>
  <si>
    <t>1, rue de la Justice Pourpre</t>
  </si>
  <si>
    <t>GROUPE SCOLAIRE GS BONTEMPS</t>
  </si>
  <si>
    <t>53, avenue du Bontemps</t>
  </si>
  <si>
    <t>GROUPE SCOLAIRE GS LINANDES</t>
  </si>
  <si>
    <t>Place des Linandes</t>
  </si>
  <si>
    <t>3, allée des Marmoussets</t>
  </si>
  <si>
    <t>MAISON DE QUARTIER - MQ DES TOULEUSES</t>
  </si>
  <si>
    <t>20, Place des Touleuses</t>
  </si>
  <si>
    <t>Grand Centre</t>
  </si>
  <si>
    <t>GROUPE SCOLAIRE GS LES CHENES</t>
  </si>
  <si>
    <t xml:space="preserve">Rue des Chenes Verts </t>
  </si>
  <si>
    <t>GROUPE SCOLAIRE SEBILLE</t>
  </si>
  <si>
    <t xml:space="preserve">2, Allée de la Sebille </t>
  </si>
  <si>
    <t xml:space="preserve">GROUPE SCOLAIRE - GS LES PLANTS </t>
  </si>
  <si>
    <t xml:space="preserve">10 E rue des Plants Pourpres </t>
  </si>
  <si>
    <t>HOTEL DE VILLE LES GEMEAUX + AILE B</t>
  </si>
  <si>
    <t>3 place Olympe de Gouges</t>
  </si>
  <si>
    <t>atelier, complexes, maison de quartier</t>
    <phoneticPr fontId="2" type="noConversion"/>
  </si>
  <si>
    <t>Hotel de Ville</t>
    <phoneticPr fontId="2" type="noConversion"/>
  </si>
  <si>
    <t>3 niveaux moyen</t>
    <phoneticPr fontId="2" type="noConversion"/>
  </si>
  <si>
    <t>kWh</t>
  </si>
  <si>
    <t>euros</t>
  </si>
  <si>
    <t>TCO2e</t>
  </si>
  <si>
    <t>Identifiant BDD</t>
  </si>
  <si>
    <t>Quartier</t>
  </si>
  <si>
    <t>Designation inventaire Ville de Cergy</t>
  </si>
  <si>
    <t>Adresse</t>
  </si>
  <si>
    <t>Année de construction</t>
  </si>
  <si>
    <t>Surface</t>
  </si>
  <si>
    <t>GAZ 2019
kWh</t>
  </si>
  <si>
    <t>GAZ 2020
kWh</t>
  </si>
  <si>
    <t>GAZ 2021
kWh</t>
  </si>
  <si>
    <t xml:space="preserve"> GAZ Moyenne 2019-2021 kWh</t>
  </si>
  <si>
    <t>GAZ             cout moyen annuel   2019-2021 euros</t>
  </si>
  <si>
    <t>GAZ          émissions  annuelles   2019-2021 TCO2e</t>
  </si>
  <si>
    <t>RCU 2019</t>
  </si>
  <si>
    <t>RCU 2020</t>
  </si>
  <si>
    <t>RCU 2021</t>
  </si>
  <si>
    <t>RCU                    Moyenne                 2019-2021</t>
  </si>
  <si>
    <t>RCU                               cout moyen annuel   2019-2021              euros</t>
  </si>
  <si>
    <t>RCU                   émissions  annuelles   2019-2021            TCO2e</t>
  </si>
  <si>
    <t>Electricité 2019
kWh</t>
  </si>
  <si>
    <t>Electricité 2020
kWh</t>
  </si>
  <si>
    <t>Electricité 2021
kWh</t>
  </si>
  <si>
    <t>Electricité Moyenne 2019-2021  kWh</t>
  </si>
  <si>
    <t>Electricité cout moyen annuel   2019-2021            euros</t>
  </si>
  <si>
    <t>électricité émissions  annuelles   2019-2021            TCO2e</t>
  </si>
  <si>
    <t>Energies Moyenne 2019-2021  kWh</t>
  </si>
  <si>
    <t>Energies    cout moyen annuel   2019-2021            euros</t>
  </si>
  <si>
    <t>énergies émissions  annuelles   2019-2021            TCO2e</t>
  </si>
  <si>
    <t>Conso d'EP kWh.an</t>
  </si>
  <si>
    <t>Conso d'EP kWh/m².an</t>
  </si>
  <si>
    <t>Horloge</t>
  </si>
  <si>
    <t>Axe majeur</t>
  </si>
  <si>
    <t>GROUPE SCOLAIRE GS TERRASSES</t>
  </si>
  <si>
    <t>6, rue des Roulants</t>
  </si>
  <si>
    <t>Hauts de Cergy</t>
  </si>
  <si>
    <t xml:space="preserve">GROUPE SCOLAIRE GS POINT DU JOUR </t>
  </si>
  <si>
    <t>3, avenue du Point du Jour / 3 épis</t>
  </si>
  <si>
    <t>GROUPE SCOLAIRE GS NAUTILUS</t>
  </si>
  <si>
    <t xml:space="preserve">10, Place du Nautilus </t>
  </si>
  <si>
    <t>Trois Bois</t>
  </si>
  <si>
    <t xml:space="preserve">COMPLEXE MOULIN A VENT </t>
  </si>
  <si>
    <t>18, avenue du Terroir</t>
  </si>
  <si>
    <t xml:space="preserve">GROUPE SCOLAIRE GS CHANTERELLE </t>
  </si>
  <si>
    <t xml:space="preserve">2, rue de la Chanterelle </t>
  </si>
  <si>
    <t>GROUPE SCOLAIRE GS GROS CAILLOU</t>
  </si>
  <si>
    <t xml:space="preserve">27, avenue du Haut Pavé </t>
  </si>
  <si>
    <t>ATELIER D'OSNY</t>
  </si>
  <si>
    <t xml:space="preserve">24, rue des Beaux Soleils </t>
  </si>
  <si>
    <t>GROUPE SCOLAIRE GS TERROIR</t>
  </si>
  <si>
    <t xml:space="preserve">10, avenue du Terroir </t>
  </si>
  <si>
    <t xml:space="preserve">GROUPE SCOLAIRE GS ESSARTS </t>
  </si>
  <si>
    <t xml:space="preserve">1, avenue des Essarts </t>
  </si>
  <si>
    <t xml:space="preserve">COMPLEXE GRES </t>
  </si>
  <si>
    <t>gain déphasage thermique 14% (jour-nuit de 2°C)</t>
  </si>
  <si>
    <t>1 niveau moyen</t>
  </si>
  <si>
    <t xml:space="preserve">Evaluation gisement production photovoltaïque </t>
  </si>
  <si>
    <t>M2</t>
  </si>
  <si>
    <t>carton 9,4-18,1=8,7/15,4 kg-1,665m2</t>
  </si>
  <si>
    <t>kgCO2e/kg</t>
  </si>
  <si>
    <t>SOUS-TOTAL ENERGIE</t>
  </si>
  <si>
    <t>Hypothèse investissement</t>
  </si>
  <si>
    <t>gains stockage CO2e</t>
  </si>
  <si>
    <t>kWh/an</t>
  </si>
  <si>
    <t>Euros/an</t>
  </si>
  <si>
    <t>TCO2e/an</t>
  </si>
  <si>
    <t>TOTAL économies plus production par an</t>
  </si>
  <si>
    <t>Autoconsommation tous bâtiments publics et crowfunding habitants-entreprises</t>
  </si>
  <si>
    <t>TRI carbone inférieur à 2 ans</t>
  </si>
  <si>
    <t>SYNTHESE</t>
  </si>
  <si>
    <t>Evaluation gisement isolation terrasses</t>
  </si>
  <si>
    <t>gain consommation énergie de l'isolation : 25%</t>
  </si>
  <si>
    <t>laine de verre +17,8/m2</t>
  </si>
  <si>
    <t xml:space="preserve">balance émisions carbone des investissements stockage (carton)/photovoltaïque sur 2 ans </t>
  </si>
  <si>
    <t>effet paroi chaude hiver 14% ou 2°C 50%  des volumes</t>
  </si>
  <si>
    <t>TOTAL</t>
  </si>
  <si>
    <t>75% des surfaces de terrasses; 250 Watts-crête/m2 1900 h ensoleillement=475kWH/m2/an</t>
  </si>
  <si>
    <t>invetissement isolation terrasses</t>
  </si>
  <si>
    <t>Investissement photovoltaïque</t>
  </si>
  <si>
    <t xml:space="preserve">émissions CO2e investissement </t>
  </si>
  <si>
    <t>355 gCO2e/Wc à 250Wc/M2</t>
  </si>
  <si>
    <t>Euros</t>
  </si>
  <si>
    <t>base Agorasun soit 2469m2 et 899000 euros d'investissement</t>
  </si>
  <si>
    <t>TRI  euros en années</t>
  </si>
  <si>
    <t>analyse vue aérienne</t>
  </si>
  <si>
    <t>source SDIE</t>
  </si>
  <si>
    <t>gains annuel sur énergies</t>
  </si>
  <si>
    <t xml:space="preserve">kWh/an </t>
  </si>
  <si>
    <t>GROUPE SCOLAIRE GS PONCEAU</t>
  </si>
  <si>
    <t>Place des 3 Cèdres</t>
  </si>
  <si>
    <t>Total m2 plancher</t>
  </si>
  <si>
    <r>
      <t xml:space="preserve">GROUPE SCOLAIRE GS LES GENOTTES </t>
    </r>
    <r>
      <rPr>
        <b/>
        <sz val="11"/>
        <color indexed="8"/>
        <rFont val="Calibri"/>
        <family val="2"/>
      </rPr>
      <t>(Elem+Mat)</t>
    </r>
  </si>
  <si>
    <t>sous-total</t>
  </si>
  <si>
    <t xml:space="preserve">MQ  DES LINANDES </t>
  </si>
  <si>
    <t xml:space="preserve">Place des Linandes </t>
  </si>
  <si>
    <t>réduction-production kWh</t>
  </si>
  <si>
    <t xml:space="preserve">10,2 +9,2 millions d'investissements transverses permettent d'économiser 1,9 millions d'euros/an hors augmentation du prix des énergies </t>
  </si>
  <si>
    <t xml:space="preserve">et ce sur les seules toitures terrasses des bâtiments consommant plus de100 000 kWh/an, </t>
  </si>
  <si>
    <t>indépendamment de l'isolation et des productions photovoltaïques des toitures pentues.</t>
  </si>
  <si>
    <t>le passage par une société (SPL?) permet l'investissement photovoltaïque avec 20% de fonds propres soit 1,9 millions d'euros</t>
  </si>
  <si>
    <t>ce qui ramène l'investissement isolation plus phovoltaïque à 12,1 millions d'euros à étaler sur 2 ans par exemple.</t>
  </si>
  <si>
    <t>TRI 19,4/1,9=10,2 ans</t>
  </si>
  <si>
    <t>€/kWh</t>
  </si>
  <si>
    <t>Investisssements priorisés mandat - MAJ juin 2023</t>
  </si>
  <si>
    <t>x</t>
  </si>
  <si>
    <r>
      <t xml:space="preserve">GROUPE SCOLAIRE GS LES GENOTTES </t>
    </r>
    <r>
      <rPr>
        <b/>
        <sz val="11"/>
        <color rgb="FFFF0000"/>
        <rFont val="Calibri"/>
        <family val="2"/>
      </rPr>
      <t>(Elemen+Mater)</t>
    </r>
  </si>
  <si>
    <t>CENTRE DE LOISIRS DU BOIS DE CERGY</t>
  </si>
  <si>
    <t>GROUPE SCOLAIRE GS CHEMIN DUPUIS</t>
  </si>
  <si>
    <t xml:space="preserve">Avenue des 3 Fontaines </t>
  </si>
  <si>
    <t>x et terrasses</t>
  </si>
  <si>
    <t>I scénario terrasses</t>
  </si>
  <si>
    <t>II scénario fil de l'eau</t>
  </si>
  <si>
    <t>III scénario mixte terrasses-priorités</t>
  </si>
  <si>
    <t>Ce scénario complète la liste des bâtiments priorisés puis de ceux dont les chaudières doivent être remplacées</t>
  </si>
  <si>
    <r>
      <t>GROUPE SCOLAIRE GS LES GENOTTES</t>
    </r>
    <r>
      <rPr>
        <b/>
        <sz val="10"/>
        <rFont val="Verdana"/>
        <family val="2"/>
      </rPr>
      <t xml:space="preserve"> </t>
    </r>
    <r>
      <rPr>
        <sz val="11"/>
        <color rgb="FF000000"/>
        <rFont val="Calibri"/>
        <family val="2"/>
      </rPr>
      <t>(Elem+Mat)</t>
    </r>
  </si>
  <si>
    <t xml:space="preserve">GROUPE SCOLAIRE GS POINT DU JOUR(Elem+Mat) </t>
  </si>
  <si>
    <t>TOTAL terrasses</t>
  </si>
  <si>
    <t>Ajout des bâtiments priorisés non pris en compte dans le scénario terrasses</t>
  </si>
  <si>
    <t>Ajout des bâtiments dont la chaudière doit être remplacée et non pris en compte dans le scénario terrasses</t>
  </si>
  <si>
    <t>Le centre de loisir du bois de Cergy, priorisé, est une construction neuve; il n'est pas inclus dans les calculs</t>
  </si>
  <si>
    <t xml:space="preserve">différence </t>
  </si>
  <si>
    <t>à 85kWh/m2</t>
  </si>
  <si>
    <t>kWh/m2</t>
  </si>
  <si>
    <t>existant</t>
  </si>
  <si>
    <t>du sous-total</t>
  </si>
  <si>
    <t>différence</t>
  </si>
  <si>
    <t xml:space="preserve">isolation </t>
  </si>
  <si>
    <t>terrasse</t>
  </si>
  <si>
    <t xml:space="preserve">gains annuel </t>
  </si>
  <si>
    <t>M2 plancher</t>
  </si>
  <si>
    <t>ensemble</t>
  </si>
  <si>
    <t xml:space="preserve">pour un coût supplémentaire d'investissement de </t>
  </si>
  <si>
    <t>150€/m2 par surface de murs prise égale à 2 fois la surface au sol</t>
  </si>
  <si>
    <t>investissement complémentaire</t>
  </si>
  <si>
    <t>soit 34000 m2 par 300 euros/m2= 10,1 millions d'euros HT</t>
  </si>
  <si>
    <t>reste à isoler des bâtiments terrasse</t>
  </si>
  <si>
    <t>A</t>
  </si>
  <si>
    <t>B</t>
  </si>
  <si>
    <t>C</t>
  </si>
  <si>
    <t>D</t>
  </si>
  <si>
    <t>gain terrasse</t>
  </si>
  <si>
    <t>reste à faire</t>
  </si>
  <si>
    <t>Ajout des bâtiments priorisés</t>
  </si>
  <si>
    <t xml:space="preserve">Evaluation gisement photovoltaïque </t>
  </si>
  <si>
    <t>Scénario Terrasses</t>
  </si>
  <si>
    <t xml:space="preserve">Evaluation gisement isolation </t>
  </si>
  <si>
    <t xml:space="preserve">pour un coût proportionnel aux kwh à économiser, </t>
  </si>
  <si>
    <t>Ajout des bâtiments à changement de chaudière</t>
  </si>
  <si>
    <t>scénario total</t>
  </si>
  <si>
    <t>Investissement</t>
  </si>
  <si>
    <t>photovoltaïque</t>
  </si>
  <si>
    <t>terrasses</t>
  </si>
  <si>
    <t>85kWh/m2</t>
  </si>
  <si>
    <t>priorisés</t>
  </si>
  <si>
    <t>chaudière</t>
  </si>
  <si>
    <t>toutes options</t>
  </si>
  <si>
    <t>réductible par option photovoltaïque SPL à</t>
  </si>
  <si>
    <t>gains</t>
  </si>
  <si>
    <t xml:space="preserve">temps de retour sur investissement en années à l'issue des investissements </t>
  </si>
  <si>
    <t>cumul gains sur 10 ans</t>
  </si>
  <si>
    <t xml:space="preserve"> soit 15 ans au total</t>
  </si>
  <si>
    <t>E</t>
  </si>
  <si>
    <t>investissement</t>
  </si>
  <si>
    <t>comparatif scénarios terrasses/total</t>
  </si>
  <si>
    <t>"TRI"</t>
  </si>
  <si>
    <t>total</t>
  </si>
  <si>
    <t>10 ans</t>
  </si>
  <si>
    <t>total sur terrasses</t>
  </si>
  <si>
    <t>soit 33800 m2 par 300 euros/m2= 10,1 millions d'euros HT</t>
  </si>
  <si>
    <t>I Batiments prioritaires ; ceux ayant des terrasses (les 5 premiers) sont isolés en toiture et équipés</t>
  </si>
  <si>
    <t>II Hotel de ville</t>
  </si>
  <si>
    <t>III bâtiments chaudières</t>
  </si>
  <si>
    <t>IV autres bâtiments terrasses</t>
  </si>
  <si>
    <t>NB complément isolation terrasses à évaluer</t>
  </si>
  <si>
    <t>investissements supposés sur 5 ans: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</si>
</sst>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\ _€"/>
    <numFmt numFmtId="166" formatCode="#,##0.000\ _€"/>
    <numFmt numFmtId="167" formatCode="0.0"/>
    <numFmt numFmtId="168" formatCode="#,##0.0000\ _€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b/>
      <sz val="11"/>
      <color indexed="8"/>
      <name val="Calibri Light"/>
      <family val="2"/>
    </font>
    <font>
      <b/>
      <sz val="11"/>
      <color indexed="10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b/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1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DAC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9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165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165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/>
    <xf numFmtId="1" fontId="0" fillId="0" borderId="0" xfId="0" applyNumberFormat="1"/>
    <xf numFmtId="168" fontId="0" fillId="3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right"/>
    </xf>
    <xf numFmtId="1" fontId="0" fillId="9" borderId="0" xfId="0" applyNumberFormat="1" applyFill="1" applyAlignment="1">
      <alignment horizontal="center"/>
    </xf>
    <xf numFmtId="0" fontId="0" fillId="9" borderId="0" xfId="0" applyFill="1" applyBorder="1" applyAlignment="1">
      <alignment vertical="center"/>
    </xf>
    <xf numFmtId="0" fontId="0" fillId="9" borderId="0" xfId="0" applyFill="1"/>
    <xf numFmtId="0" fontId="0" fillId="0" borderId="0" xfId="0" applyAlignment="1">
      <alignment horizontal="left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 applyAlignment="1">
      <alignment horizontal="right"/>
    </xf>
    <xf numFmtId="1" fontId="0" fillId="9" borderId="0" xfId="0" applyNumberFormat="1" applyFill="1"/>
    <xf numFmtId="0" fontId="8" fillId="9" borderId="0" xfId="0" applyFont="1" applyFill="1" applyAlignment="1">
      <alignment horizontal="center"/>
    </xf>
    <xf numFmtId="0" fontId="9" fillId="9" borderId="0" xfId="0" applyFont="1" applyFill="1"/>
    <xf numFmtId="0" fontId="9" fillId="9" borderId="0" xfId="0" applyFont="1" applyFill="1" applyBorder="1" applyAlignment="1">
      <alignment vertical="center"/>
    </xf>
    <xf numFmtId="0" fontId="9" fillId="0" borderId="0" xfId="0" applyFont="1"/>
    <xf numFmtId="1" fontId="0" fillId="0" borderId="0" xfId="0" applyNumberFormat="1" applyFill="1"/>
    <xf numFmtId="0" fontId="1" fillId="0" borderId="0" xfId="0" applyFont="1"/>
    <xf numFmtId="0" fontId="1" fillId="9" borderId="0" xfId="0" applyFont="1" applyFill="1"/>
    <xf numFmtId="0" fontId="0" fillId="0" borderId="0" xfId="0" applyFill="1" applyAlignment="1">
      <alignment horizontal="right"/>
    </xf>
    <xf numFmtId="0" fontId="1" fillId="9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9" borderId="0" xfId="0" applyNumberFormat="1" applyFont="1" applyFill="1"/>
    <xf numFmtId="0" fontId="1" fillId="0" borderId="0" xfId="0" applyFont="1" applyAlignment="1">
      <alignment horizont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166" fontId="0" fillId="10" borderId="1" xfId="0" applyNumberFormat="1" applyFill="1" applyBorder="1" applyAlignment="1">
      <alignment horizontal="center" vertical="center"/>
    </xf>
    <xf numFmtId="165" fontId="0" fillId="10" borderId="0" xfId="0" applyNumberFormat="1" applyFill="1" applyAlignment="1">
      <alignment horizontal="center" vertical="center"/>
    </xf>
    <xf numFmtId="166" fontId="0" fillId="1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1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wrapText="1"/>
    </xf>
    <xf numFmtId="0" fontId="0" fillId="10" borderId="1" xfId="0" applyFill="1" applyBorder="1" applyAlignment="1">
      <alignment wrapText="1"/>
    </xf>
    <xf numFmtId="165" fontId="0" fillId="10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165" fontId="0" fillId="10" borderId="0" xfId="0" applyNumberFormat="1" applyFill="1" applyAlignment="1">
      <alignment horizontal="center"/>
    </xf>
    <xf numFmtId="166" fontId="0" fillId="1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13" borderId="1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17" borderId="4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vertical="center"/>
    </xf>
    <xf numFmtId="0" fontId="14" fillId="18" borderId="4" xfId="0" applyFont="1" applyFill="1" applyBorder="1" applyAlignment="1">
      <alignment vertical="center"/>
    </xf>
    <xf numFmtId="0" fontId="14" fillId="18" borderId="4" xfId="0" applyFont="1" applyFill="1" applyBorder="1" applyAlignment="1">
      <alignment vertical="center" wrapText="1"/>
    </xf>
    <xf numFmtId="0" fontId="14" fillId="18" borderId="4" xfId="0" applyFont="1" applyFill="1" applyBorder="1" applyAlignment="1">
      <alignment horizontal="center" vertical="center"/>
    </xf>
    <xf numFmtId="165" fontId="14" fillId="18" borderId="4" xfId="0" applyNumberFormat="1" applyFont="1" applyFill="1" applyBorder="1" applyAlignment="1">
      <alignment horizontal="center" vertical="center"/>
    </xf>
    <xf numFmtId="166" fontId="14" fillId="18" borderId="4" xfId="0" applyNumberFormat="1" applyFont="1" applyFill="1" applyBorder="1" applyAlignment="1">
      <alignment horizontal="center" vertical="center"/>
    </xf>
    <xf numFmtId="165" fontId="15" fillId="18" borderId="4" xfId="0" applyNumberFormat="1" applyFont="1" applyFill="1" applyBorder="1" applyAlignment="1">
      <alignment horizontal="center" vertical="center"/>
    </xf>
    <xf numFmtId="165" fontId="14" fillId="18" borderId="0" xfId="0" applyNumberFormat="1" applyFont="1" applyFill="1" applyAlignment="1">
      <alignment horizontal="center" vertical="center"/>
    </xf>
    <xf numFmtId="166" fontId="14" fillId="18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5" fontId="14" fillId="18" borderId="3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vertical="center"/>
    </xf>
    <xf numFmtId="0" fontId="14" fillId="13" borderId="4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vertical="center"/>
    </xf>
    <xf numFmtId="165" fontId="0" fillId="10" borderId="0" xfId="1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vertical="center" wrapText="1"/>
    </xf>
    <xf numFmtId="165" fontId="16" fillId="1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5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/>
    <xf numFmtId="0" fontId="0" fillId="10" borderId="0" xfId="0" applyFill="1" applyBorder="1" applyAlignment="1">
      <alignment vertical="center"/>
    </xf>
    <xf numFmtId="0" fontId="0" fillId="10" borderId="0" xfId="0" applyFill="1" applyBorder="1" applyAlignment="1">
      <alignment vertical="center" wrapText="1"/>
    </xf>
    <xf numFmtId="0" fontId="0" fillId="10" borderId="0" xfId="0" applyFill="1" applyBorder="1" applyAlignment="1">
      <alignment horizontal="center" vertical="center"/>
    </xf>
    <xf numFmtId="165" fontId="0" fillId="10" borderId="0" xfId="0" applyNumberFormat="1" applyFill="1" applyBorder="1" applyAlignment="1">
      <alignment horizontal="center" vertical="center"/>
    </xf>
    <xf numFmtId="166" fontId="0" fillId="10" borderId="0" xfId="0" applyNumberForma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1" fillId="10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4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 wrapText="1"/>
    </xf>
    <xf numFmtId="165" fontId="0" fillId="10" borderId="1" xfId="0" applyNumberFormat="1" applyFill="1" applyBorder="1" applyAlignment="1">
      <alignment horizontal="left" vertical="center"/>
    </xf>
    <xf numFmtId="166" fontId="0" fillId="10" borderId="1" xfId="0" applyNumberFormat="1" applyFill="1" applyBorder="1" applyAlignment="1">
      <alignment horizontal="left" vertical="center"/>
    </xf>
    <xf numFmtId="0" fontId="0" fillId="10" borderId="0" xfId="0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5" fontId="0" fillId="10" borderId="5" xfId="0" applyNumberFormat="1" applyFill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 vertical="center"/>
    </xf>
    <xf numFmtId="165" fontId="0" fillId="10" borderId="5" xfId="0" applyNumberFormat="1" applyFill="1" applyBorder="1" applyAlignment="1">
      <alignment horizontal="center" vertical="center"/>
    </xf>
    <xf numFmtId="165" fontId="0" fillId="10" borderId="5" xfId="0" applyNumberFormat="1" applyFill="1" applyBorder="1" applyAlignment="1">
      <alignment horizontal="left" vertical="center"/>
    </xf>
    <xf numFmtId="165" fontId="16" fillId="10" borderId="5" xfId="0" applyNumberFormat="1" applyFon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165" fontId="0" fillId="10" borderId="2" xfId="1" applyNumberFormat="1" applyFont="1" applyFill="1" applyBorder="1" applyAlignment="1">
      <alignment horizontal="center" vertical="center"/>
    </xf>
    <xf numFmtId="165" fontId="0" fillId="10" borderId="2" xfId="1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 applyFill="1" applyBorder="1"/>
    <xf numFmtId="0" fontId="1" fillId="1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1" fontId="0" fillId="10" borderId="0" xfId="0" applyNumberFormat="1" applyFill="1" applyAlignment="1">
      <alignment horizontal="center"/>
    </xf>
    <xf numFmtId="1" fontId="1" fillId="9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10" borderId="0" xfId="0" applyFont="1" applyFill="1" applyAlignment="1">
      <alignment horizontal="center"/>
    </xf>
    <xf numFmtId="9" fontId="0" fillId="9" borderId="0" xfId="2" applyFont="1" applyFill="1" applyAlignment="1">
      <alignment horizontal="center"/>
    </xf>
    <xf numFmtId="9" fontId="0" fillId="9" borderId="0" xfId="0" applyNumberFormat="1" applyFill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2"/>
  <sheetViews>
    <sheetView tabSelected="1" zoomScale="87" workbookViewId="0">
      <selection activeCell="F155" sqref="F155:I155"/>
    </sheetView>
  </sheetViews>
  <sheetFormatPr baseColWidth="10" defaultRowHeight="13" x14ac:dyDescent="0.15"/>
  <cols>
    <col min="1" max="1" width="11.6640625" customWidth="1"/>
    <col min="3" max="3" width="47.6640625" customWidth="1"/>
    <col min="4" max="4" width="28.5" customWidth="1"/>
    <col min="7" max="7" width="13.5" customWidth="1"/>
    <col min="8" max="8" width="12.6640625" customWidth="1"/>
    <col min="9" max="9" width="23.6640625" customWidth="1"/>
    <col min="16" max="16" width="11.33203125" bestFit="1" customWidth="1"/>
    <col min="22" max="22" width="11.33203125" bestFit="1" customWidth="1"/>
    <col min="25" max="25" width="13.33203125" customWidth="1"/>
    <col min="26" max="26" width="12.6640625" customWidth="1"/>
    <col min="30" max="30" width="13.33203125" customWidth="1"/>
    <col min="32" max="32" width="11.83203125" customWidth="1"/>
    <col min="33" max="33" width="16.6640625" customWidth="1"/>
  </cols>
  <sheetData>
    <row r="1" spans="1:35" x14ac:dyDescent="0.15">
      <c r="A1" s="4"/>
      <c r="B1" s="5"/>
      <c r="C1" s="5"/>
      <c r="D1" s="5"/>
      <c r="E1" s="5"/>
      <c r="F1" s="5"/>
      <c r="G1" s="4"/>
      <c r="H1" s="4"/>
      <c r="I1" s="4"/>
      <c r="J1" s="4"/>
      <c r="K1" s="4"/>
      <c r="L1" s="6"/>
      <c r="M1" s="4"/>
      <c r="N1" s="4"/>
      <c r="O1" s="7"/>
      <c r="P1" s="7"/>
      <c r="Q1" s="7"/>
      <c r="R1" s="7"/>
      <c r="S1" s="8"/>
      <c r="T1" s="8"/>
      <c r="U1" s="8"/>
      <c r="V1" s="9"/>
      <c r="W1" s="9"/>
      <c r="X1" s="9"/>
      <c r="Y1" s="9" t="s">
        <v>30</v>
      </c>
      <c r="Z1" s="9" t="s">
        <v>31</v>
      </c>
      <c r="AA1" s="9" t="s">
        <v>32</v>
      </c>
      <c r="AB1" s="9"/>
      <c r="AC1" s="10"/>
    </row>
    <row r="2" spans="1:35" ht="80" x14ac:dyDescent="0.15">
      <c r="A2" s="11" t="s">
        <v>33</v>
      </c>
      <c r="B2" s="11" t="s">
        <v>34</v>
      </c>
      <c r="C2" s="12" t="s">
        <v>35</v>
      </c>
      <c r="D2" s="12" t="s">
        <v>36</v>
      </c>
      <c r="E2" s="12" t="s">
        <v>37</v>
      </c>
      <c r="F2" s="13" t="s">
        <v>38</v>
      </c>
      <c r="G2" s="14" t="s">
        <v>39</v>
      </c>
      <c r="H2" s="14" t="s">
        <v>40</v>
      </c>
      <c r="I2" s="14" t="s">
        <v>41</v>
      </c>
      <c r="J2" s="14" t="s">
        <v>42</v>
      </c>
      <c r="K2" s="14" t="s">
        <v>43</v>
      </c>
      <c r="L2" s="14" t="s">
        <v>44</v>
      </c>
      <c r="M2" s="14" t="s">
        <v>45</v>
      </c>
      <c r="N2" s="14" t="s">
        <v>46</v>
      </c>
      <c r="O2" s="14" t="s">
        <v>47</v>
      </c>
      <c r="P2" s="14" t="s">
        <v>48</v>
      </c>
      <c r="Q2" s="14" t="s">
        <v>49</v>
      </c>
      <c r="R2" s="14" t="s">
        <v>50</v>
      </c>
      <c r="S2" s="14" t="s">
        <v>51</v>
      </c>
      <c r="T2" s="14" t="s">
        <v>52</v>
      </c>
      <c r="U2" s="14" t="s">
        <v>53</v>
      </c>
      <c r="V2" s="14" t="s">
        <v>54</v>
      </c>
      <c r="W2" s="14" t="s">
        <v>55</v>
      </c>
      <c r="X2" s="14" t="s">
        <v>56</v>
      </c>
      <c r="Y2" s="14" t="s">
        <v>57</v>
      </c>
      <c r="Z2" s="14" t="s">
        <v>58</v>
      </c>
      <c r="AA2" s="14" t="s">
        <v>59</v>
      </c>
      <c r="AB2" s="15" t="s">
        <v>60</v>
      </c>
      <c r="AC2" s="16" t="s">
        <v>61</v>
      </c>
    </row>
    <row r="3" spans="1:35" x14ac:dyDescent="0.15">
      <c r="A3" s="146" t="s">
        <v>141</v>
      </c>
    </row>
    <row r="4" spans="1:35" ht="16" x14ac:dyDescent="0.15">
      <c r="A4" s="2">
        <v>1</v>
      </c>
      <c r="B4" s="17" t="s">
        <v>62</v>
      </c>
      <c r="C4" s="18" t="s">
        <v>25</v>
      </c>
      <c r="D4" s="17" t="s">
        <v>26</v>
      </c>
      <c r="E4" s="3">
        <v>1992</v>
      </c>
      <c r="F4" s="3">
        <v>11500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1160000</v>
      </c>
      <c r="Q4" s="22">
        <v>78532</v>
      </c>
      <c r="R4" s="23">
        <v>116</v>
      </c>
      <c r="S4" s="24">
        <v>0</v>
      </c>
      <c r="T4" s="24">
        <v>0</v>
      </c>
      <c r="U4" s="24">
        <v>0</v>
      </c>
      <c r="V4" s="25">
        <v>831874</v>
      </c>
      <c r="W4" s="25">
        <v>111304.7412</v>
      </c>
      <c r="X4" s="26">
        <v>149.73732000000001</v>
      </c>
      <c r="Y4" s="25">
        <v>1991874</v>
      </c>
      <c r="Z4" s="25">
        <v>189836.74119999999</v>
      </c>
      <c r="AA4" s="25">
        <v>265.73732000000001</v>
      </c>
      <c r="AB4" s="27">
        <v>3306234.92</v>
      </c>
      <c r="AC4" s="28">
        <v>287.49868869565222</v>
      </c>
    </row>
    <row r="5" spans="1:35" s="46" customFormat="1" x14ac:dyDescent="0.15">
      <c r="A5" s="7"/>
      <c r="B5" s="10"/>
      <c r="C5" s="10"/>
      <c r="D5" s="10"/>
      <c r="E5" s="106" t="s">
        <v>123</v>
      </c>
      <c r="F5" s="7">
        <f>F4</f>
        <v>11500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/>
      <c r="W5"/>
      <c r="X5"/>
      <c r="Y5"/>
      <c r="Z5"/>
      <c r="AA5"/>
      <c r="AB5"/>
      <c r="AC5" s="10"/>
    </row>
    <row r="6" spans="1:35" s="46" customFormat="1" ht="16" x14ac:dyDescent="0.15">
      <c r="A6" s="1">
        <v>13</v>
      </c>
      <c r="B6" s="76"/>
      <c r="C6" s="77" t="s">
        <v>78</v>
      </c>
      <c r="D6" s="76" t="s">
        <v>79</v>
      </c>
      <c r="E6" s="75">
        <v>1999</v>
      </c>
      <c r="F6" s="75">
        <v>3059</v>
      </c>
      <c r="G6" s="78">
        <v>175992</v>
      </c>
      <c r="H6" s="78">
        <v>294180</v>
      </c>
      <c r="I6" s="78">
        <v>267431</v>
      </c>
      <c r="J6" s="79">
        <f>(G6+H6+I6)/3</f>
        <v>245867.66666666666</v>
      </c>
      <c r="K6" s="79">
        <f>J6*0.057</f>
        <v>14014.457</v>
      </c>
      <c r="L6" s="79">
        <f>J6*230/1000000</f>
        <v>56.549563333333332</v>
      </c>
      <c r="M6" s="79">
        <v>0</v>
      </c>
      <c r="N6" s="79">
        <v>0</v>
      </c>
      <c r="O6" s="79">
        <v>0</v>
      </c>
      <c r="P6" s="79">
        <f>(M6+N6+O6)/3</f>
        <v>0</v>
      </c>
      <c r="Q6" s="79">
        <f>P6*0.0677</f>
        <v>0</v>
      </c>
      <c r="R6" s="80">
        <f>P6*(100/1000000)</f>
        <v>0</v>
      </c>
      <c r="S6" s="81">
        <v>209912</v>
      </c>
      <c r="T6" s="81">
        <v>138661</v>
      </c>
      <c r="U6" s="81">
        <v>181627</v>
      </c>
      <c r="V6" s="82">
        <f>(S6+T6+U6)/3</f>
        <v>176733.33333333334</v>
      </c>
      <c r="W6" s="82">
        <f>V6*0.1338</f>
        <v>23646.920000000002</v>
      </c>
      <c r="X6" s="83">
        <f>V6*(180/1000000)</f>
        <v>31.812000000000005</v>
      </c>
      <c r="Y6" s="82">
        <f t="shared" ref="Y6:AA10" si="0">J6+P6+V6</f>
        <v>422601</v>
      </c>
      <c r="Z6" s="82">
        <f t="shared" si="0"/>
        <v>37661.377</v>
      </c>
      <c r="AA6" s="83">
        <f t="shared" si="0"/>
        <v>88.361563333333336</v>
      </c>
      <c r="AB6" s="47">
        <f>J6+P6+2.58*V6</f>
        <v>701839.66666666674</v>
      </c>
      <c r="AC6" s="84">
        <f>AB6/F6</f>
        <v>229.43434673640627</v>
      </c>
    </row>
    <row r="7" spans="1:35" s="46" customFormat="1" ht="14" x14ac:dyDescent="0.15">
      <c r="A7" s="103">
        <v>26</v>
      </c>
      <c r="B7" s="76" t="s">
        <v>66</v>
      </c>
      <c r="C7" s="77" t="s">
        <v>84</v>
      </c>
      <c r="D7" s="76" t="s">
        <v>5</v>
      </c>
      <c r="E7" s="75">
        <v>1995</v>
      </c>
      <c r="F7" s="75">
        <v>2008</v>
      </c>
      <c r="G7" s="79">
        <v>326395</v>
      </c>
      <c r="H7" s="79">
        <v>312551</v>
      </c>
      <c r="I7" s="79">
        <v>248044</v>
      </c>
      <c r="J7" s="79">
        <f>(G7+H7+I7)/3</f>
        <v>295663.33333333331</v>
      </c>
      <c r="K7" s="79">
        <f>J7*0.057</f>
        <v>16852.810000000001</v>
      </c>
      <c r="L7" s="79">
        <f>J7*230/1000000</f>
        <v>68.002566666666652</v>
      </c>
      <c r="M7" s="79">
        <v>0</v>
      </c>
      <c r="N7" s="79">
        <v>0</v>
      </c>
      <c r="O7" s="79">
        <v>0</v>
      </c>
      <c r="P7" s="79">
        <f>(M7+N7+O7)/3</f>
        <v>0</v>
      </c>
      <c r="Q7" s="79">
        <f>P7*0.0677</f>
        <v>0</v>
      </c>
      <c r="R7" s="80">
        <f>P7*(100/1000000)</f>
        <v>0</v>
      </c>
      <c r="S7" s="85">
        <v>44832</v>
      </c>
      <c r="T7" s="85">
        <v>18611</v>
      </c>
      <c r="U7" s="85">
        <v>31486</v>
      </c>
      <c r="V7" s="82">
        <f>(S7+T7+U7)/3</f>
        <v>31643</v>
      </c>
      <c r="W7" s="82">
        <f>V7*0.1338</f>
        <v>4233.8334000000004</v>
      </c>
      <c r="X7" s="83">
        <f>V7*(180/1000000)</f>
        <v>5.6957400000000007</v>
      </c>
      <c r="Y7" s="82">
        <f t="shared" si="0"/>
        <v>327306.33333333331</v>
      </c>
      <c r="Z7" s="82">
        <f t="shared" si="0"/>
        <v>21086.643400000001</v>
      </c>
      <c r="AA7" s="83">
        <f t="shared" si="0"/>
        <v>73.698306666666653</v>
      </c>
      <c r="AB7" s="47">
        <f>J7+P7+2.58*V7</f>
        <v>377302.27333333332</v>
      </c>
      <c r="AC7" s="84">
        <f>AB7/F7</f>
        <v>187.8995385126162</v>
      </c>
    </row>
    <row r="8" spans="1:35" s="46" customFormat="1" ht="14" x14ac:dyDescent="0.15">
      <c r="A8" s="2">
        <v>5</v>
      </c>
      <c r="B8" s="76" t="s">
        <v>71</v>
      </c>
      <c r="C8" s="77" t="s">
        <v>72</v>
      </c>
      <c r="D8" s="76" t="s">
        <v>73</v>
      </c>
      <c r="E8" s="75">
        <v>2001</v>
      </c>
      <c r="F8" s="75">
        <v>6288</v>
      </c>
      <c r="G8" s="79">
        <v>520665</v>
      </c>
      <c r="H8" s="79">
        <v>536746</v>
      </c>
      <c r="I8" s="79">
        <v>340883</v>
      </c>
      <c r="J8" s="79">
        <f>(G8+H8+I8)/3</f>
        <v>466098</v>
      </c>
      <c r="K8" s="79">
        <f>J8*0.057</f>
        <v>26567.585999999999</v>
      </c>
      <c r="L8" s="79">
        <f>J8*230/1000000</f>
        <v>107.20254</v>
      </c>
      <c r="M8" s="79">
        <v>0</v>
      </c>
      <c r="N8" s="79">
        <v>0</v>
      </c>
      <c r="O8" s="79">
        <v>0</v>
      </c>
      <c r="P8" s="79">
        <f>(M8+N8+O8)/3</f>
        <v>0</v>
      </c>
      <c r="Q8" s="79">
        <f>P8*0.0677</f>
        <v>0</v>
      </c>
      <c r="R8" s="80">
        <f>P8*(100/1000000)</f>
        <v>0</v>
      </c>
      <c r="S8" s="85">
        <v>232151</v>
      </c>
      <c r="T8" s="85">
        <v>110188</v>
      </c>
      <c r="U8" s="85">
        <v>149585</v>
      </c>
      <c r="V8" s="82">
        <f>(S8+T8+U8)/3</f>
        <v>163974.66666666666</v>
      </c>
      <c r="W8" s="82">
        <f>V8*0.1338</f>
        <v>21939.810399999998</v>
      </c>
      <c r="X8" s="83">
        <f>V8*(180/1000000)</f>
        <v>29.515440000000002</v>
      </c>
      <c r="Y8" s="82">
        <f t="shared" si="0"/>
        <v>630072.66666666663</v>
      </c>
      <c r="Z8" s="82">
        <f t="shared" si="0"/>
        <v>48507.396399999998</v>
      </c>
      <c r="AA8" s="83">
        <f t="shared" si="0"/>
        <v>136.71798000000001</v>
      </c>
      <c r="AB8" s="47">
        <f>J8+P8+2.58*V8</f>
        <v>889152.64</v>
      </c>
      <c r="AC8" s="84">
        <f>AB8/F8</f>
        <v>141.40468193384226</v>
      </c>
    </row>
    <row r="9" spans="1:35" ht="14" x14ac:dyDescent="0.15">
      <c r="A9" s="1">
        <v>17</v>
      </c>
      <c r="B9" s="76" t="s">
        <v>6</v>
      </c>
      <c r="C9" s="77" t="s">
        <v>16</v>
      </c>
      <c r="D9" s="76" t="s">
        <v>17</v>
      </c>
      <c r="E9" s="75">
        <v>1973</v>
      </c>
      <c r="F9" s="75">
        <v>1637</v>
      </c>
      <c r="G9" s="79">
        <v>0</v>
      </c>
      <c r="H9" s="79">
        <v>0</v>
      </c>
      <c r="I9" s="79">
        <v>0</v>
      </c>
      <c r="J9" s="79">
        <f>(G9+H9+I9)/3</f>
        <v>0</v>
      </c>
      <c r="K9" s="79">
        <f>J9*0.057</f>
        <v>0</v>
      </c>
      <c r="L9" s="79">
        <f>J9*230/1000000</f>
        <v>0</v>
      </c>
      <c r="M9" s="79">
        <v>365587.61746821448</v>
      </c>
      <c r="N9" s="79">
        <v>312197.34660033166</v>
      </c>
      <c r="O9" s="79">
        <v>327291.40961857379</v>
      </c>
      <c r="P9" s="79">
        <f>(M9+N9+O9)/3</f>
        <v>335025.45789570664</v>
      </c>
      <c r="Q9" s="79">
        <f>P9*0.0677</f>
        <v>22681.223499539337</v>
      </c>
      <c r="R9" s="80">
        <f>P9*(100/1000000)</f>
        <v>33.502545789570668</v>
      </c>
      <c r="S9" s="85">
        <v>70854.3189607518</v>
      </c>
      <c r="T9" s="85">
        <v>37346.042012161415</v>
      </c>
      <c r="U9" s="85">
        <v>58636.996130458814</v>
      </c>
      <c r="V9" s="82">
        <f>(S9+T9+U9)/3</f>
        <v>55612.452367790676</v>
      </c>
      <c r="W9" s="82">
        <f>V9*0.1338</f>
        <v>7440.9461268103923</v>
      </c>
      <c r="X9" s="83">
        <f>V9*(180/1000000)</f>
        <v>10.010241426202322</v>
      </c>
      <c r="Y9" s="82">
        <f t="shared" si="0"/>
        <v>390637.91026349732</v>
      </c>
      <c r="Z9" s="82">
        <f t="shared" si="0"/>
        <v>30122.169626349729</v>
      </c>
      <c r="AA9" s="83">
        <f t="shared" si="0"/>
        <v>43.512787215772988</v>
      </c>
      <c r="AB9" s="47">
        <f>J9+P9+2.58*V9</f>
        <v>478505.58500460658</v>
      </c>
      <c r="AC9" s="84">
        <f>AB9/F9</f>
        <v>292.30640501197712</v>
      </c>
      <c r="AE9" t="s">
        <v>126</v>
      </c>
      <c r="AI9" s="102">
        <v>27700000</v>
      </c>
    </row>
    <row r="10" spans="1:35" s="46" customFormat="1" ht="14" x14ac:dyDescent="0.15">
      <c r="A10" s="67">
        <v>38</v>
      </c>
      <c r="B10" s="65" t="s">
        <v>8</v>
      </c>
      <c r="C10" s="97" t="s">
        <v>124</v>
      </c>
      <c r="D10" s="65" t="s">
        <v>125</v>
      </c>
      <c r="E10" s="67">
        <v>1979</v>
      </c>
      <c r="F10" s="67">
        <v>1646</v>
      </c>
      <c r="G10" s="98">
        <v>0</v>
      </c>
      <c r="H10" s="98">
        <v>0</v>
      </c>
      <c r="I10" s="98">
        <v>0</v>
      </c>
      <c r="J10" s="98">
        <f>(G10+H10+I10)/3</f>
        <v>0</v>
      </c>
      <c r="K10" s="98">
        <f>J10*0.057</f>
        <v>0</v>
      </c>
      <c r="L10" s="98">
        <f>J10*230/1000000</f>
        <v>0</v>
      </c>
      <c r="M10" s="98">
        <v>153524.38565217186</v>
      </c>
      <c r="N10" s="98">
        <v>146264.76520500131</v>
      </c>
      <c r="O10" s="98">
        <v>144266.63375354843</v>
      </c>
      <c r="P10" s="98">
        <f>(M10+N10+O10)/3</f>
        <v>148018.59487024051</v>
      </c>
      <c r="Q10" s="98">
        <f>P10*0.0677</f>
        <v>10020.858872715282</v>
      </c>
      <c r="R10" s="99">
        <f>P10*(100/1000000)</f>
        <v>14.801859487024052</v>
      </c>
      <c r="S10" s="98">
        <v>94150</v>
      </c>
      <c r="T10" s="98">
        <v>49547</v>
      </c>
      <c r="U10" s="98">
        <v>88135</v>
      </c>
      <c r="V10" s="100">
        <f>(S10+T10+U10)/3</f>
        <v>77277.333333333328</v>
      </c>
      <c r="W10" s="100">
        <f>V10*0.1338</f>
        <v>10339.707199999999</v>
      </c>
      <c r="X10" s="101">
        <f>V10*(180/1000000)</f>
        <v>13.90992</v>
      </c>
      <c r="Y10" s="100">
        <f t="shared" si="0"/>
        <v>225295.92820357386</v>
      </c>
      <c r="Z10" s="100">
        <f t="shared" si="0"/>
        <v>20360.566072715279</v>
      </c>
      <c r="AA10" s="101">
        <f t="shared" si="0"/>
        <v>28.711779487024053</v>
      </c>
      <c r="AB10" s="37">
        <f>J10+P10+2.58*V10</f>
        <v>347394.1148702405</v>
      </c>
      <c r="AC10" s="73">
        <f>AB10/F10</f>
        <v>211.05353272797115</v>
      </c>
    </row>
    <row r="11" spans="1:35" s="46" customFormat="1" x14ac:dyDescent="0.15">
      <c r="A11" s="75"/>
      <c r="B11" s="76"/>
      <c r="C11" s="77"/>
      <c r="D11" s="76"/>
      <c r="E11" s="106" t="s">
        <v>123</v>
      </c>
      <c r="F11" s="75">
        <f>F6+F7+F8+F9</f>
        <v>12992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5"/>
      <c r="T11" s="85"/>
      <c r="U11" s="85"/>
      <c r="V11" s="82"/>
      <c r="W11" s="82"/>
      <c r="X11" s="83"/>
      <c r="Y11" s="82"/>
      <c r="Z11" s="82"/>
      <c r="AA11" s="83"/>
      <c r="AB11" s="47"/>
      <c r="AC11" s="84"/>
    </row>
    <row r="12" spans="1:35" s="46" customFormat="1" ht="14" x14ac:dyDescent="0.15">
      <c r="A12" s="1">
        <v>14</v>
      </c>
      <c r="B12" s="76" t="s">
        <v>71</v>
      </c>
      <c r="C12" s="77" t="s">
        <v>82</v>
      </c>
      <c r="D12" s="76" t="s">
        <v>83</v>
      </c>
      <c r="E12" s="75">
        <v>1987</v>
      </c>
      <c r="F12" s="75">
        <v>4060</v>
      </c>
      <c r="G12" s="79">
        <v>0</v>
      </c>
      <c r="H12" s="79">
        <v>0</v>
      </c>
      <c r="I12" s="79">
        <v>0</v>
      </c>
      <c r="J12" s="79">
        <f t="shared" ref="J12:J22" si="1">(G12+H12+I12)/3</f>
        <v>0</v>
      </c>
      <c r="K12" s="79">
        <f t="shared" ref="K12:K22" si="2">J12*0.057</f>
        <v>0</v>
      </c>
      <c r="L12" s="79">
        <f t="shared" ref="L12:L22" si="3">J12*230/1000000</f>
        <v>0</v>
      </c>
      <c r="M12" s="79">
        <v>0</v>
      </c>
      <c r="N12" s="79">
        <v>0</v>
      </c>
      <c r="O12" s="79">
        <v>0</v>
      </c>
      <c r="P12" s="79">
        <f t="shared" ref="P12:P22" si="4">(M12+N12+O12)/3</f>
        <v>0</v>
      </c>
      <c r="Q12" s="79">
        <f t="shared" ref="Q12:Q22" si="5">P12*0.0677</f>
        <v>0</v>
      </c>
      <c r="R12" s="80">
        <f t="shared" ref="R12:R22" si="6">P12*(100/1000000)</f>
        <v>0</v>
      </c>
      <c r="S12" s="85">
        <v>538415.3028229255</v>
      </c>
      <c r="T12" s="85">
        <v>301850.10136869119</v>
      </c>
      <c r="U12" s="85">
        <v>401766.07570573135</v>
      </c>
      <c r="V12" s="82">
        <f t="shared" ref="V12:V22" si="7">(S12+T12+U12)/3</f>
        <v>414010.49329911597</v>
      </c>
      <c r="W12" s="82">
        <f t="shared" ref="W12:W23" si="8">V12*0.1338</f>
        <v>55394.604003421715</v>
      </c>
      <c r="X12" s="83">
        <f t="shared" ref="X12:X23" si="9">V12*(180/1000000)</f>
        <v>74.521888793840887</v>
      </c>
      <c r="Y12" s="82">
        <f t="shared" ref="Y12:Y22" si="10">J12+P12+V12</f>
        <v>414010.49329911597</v>
      </c>
      <c r="Z12" s="82">
        <f t="shared" ref="Z12:Z22" si="11">K12+Q12+W12</f>
        <v>55394.604003421715</v>
      </c>
      <c r="AA12" s="83">
        <f t="shared" ref="AA12:AA22" si="12">L12+R12+X12</f>
        <v>74.521888793840887</v>
      </c>
      <c r="AB12" s="47">
        <f t="shared" ref="AB12:AB22" si="13">J12+P12+2.58*V12</f>
        <v>1068147.0727117192</v>
      </c>
      <c r="AC12" s="84">
        <f t="shared" ref="AC12:AC22" si="14">AB12/F12</f>
        <v>263.09041199796042</v>
      </c>
    </row>
    <row r="13" spans="1:35" s="46" customFormat="1" ht="14" x14ac:dyDescent="0.15">
      <c r="A13" s="2">
        <v>9</v>
      </c>
      <c r="B13" s="76" t="s">
        <v>8</v>
      </c>
      <c r="C13" s="77" t="s">
        <v>9</v>
      </c>
      <c r="D13" s="76" t="s">
        <v>10</v>
      </c>
      <c r="E13" s="75">
        <v>1978</v>
      </c>
      <c r="F13" s="75">
        <v>2958</v>
      </c>
      <c r="G13" s="79">
        <v>0</v>
      </c>
      <c r="H13" s="79">
        <v>0</v>
      </c>
      <c r="I13" s="79">
        <v>0</v>
      </c>
      <c r="J13" s="79">
        <f t="shared" si="1"/>
        <v>0</v>
      </c>
      <c r="K13" s="79">
        <f t="shared" si="2"/>
        <v>0</v>
      </c>
      <c r="L13" s="79">
        <f t="shared" si="3"/>
        <v>0</v>
      </c>
      <c r="M13" s="79">
        <v>520909.70846306253</v>
      </c>
      <c r="N13" s="79">
        <v>471551.08972544578</v>
      </c>
      <c r="O13" s="79">
        <v>497437.92244551372</v>
      </c>
      <c r="P13" s="79">
        <f t="shared" si="4"/>
        <v>496632.90687800734</v>
      </c>
      <c r="Q13" s="79">
        <f t="shared" si="5"/>
        <v>33622.047795641098</v>
      </c>
      <c r="R13" s="80">
        <f t="shared" si="6"/>
        <v>49.663290687800739</v>
      </c>
      <c r="S13" s="85">
        <v>87147</v>
      </c>
      <c r="T13" s="85">
        <v>41830</v>
      </c>
      <c r="U13" s="85">
        <v>78395</v>
      </c>
      <c r="V13" s="82">
        <f t="shared" si="7"/>
        <v>69124</v>
      </c>
      <c r="W13" s="82">
        <f t="shared" si="8"/>
        <v>9248.7911999999997</v>
      </c>
      <c r="X13" s="83">
        <f t="shared" si="9"/>
        <v>12.44232</v>
      </c>
      <c r="Y13" s="82">
        <f t="shared" si="10"/>
        <v>565756.90687800734</v>
      </c>
      <c r="Z13" s="82">
        <f t="shared" si="11"/>
        <v>42870.838995641097</v>
      </c>
      <c r="AA13" s="83">
        <f t="shared" si="12"/>
        <v>62.105610687800741</v>
      </c>
      <c r="AB13" s="47">
        <f t="shared" si="13"/>
        <v>674972.82687800738</v>
      </c>
      <c r="AC13" s="84">
        <f t="shared" si="14"/>
        <v>228.18553985057721</v>
      </c>
    </row>
    <row r="14" spans="1:35" s="46" customFormat="1" ht="15" customHeight="1" x14ac:dyDescent="0.15">
      <c r="A14" s="103">
        <v>25</v>
      </c>
      <c r="B14" s="76" t="s">
        <v>18</v>
      </c>
      <c r="C14" s="77" t="s">
        <v>19</v>
      </c>
      <c r="D14" s="76" t="s">
        <v>20</v>
      </c>
      <c r="E14" s="75">
        <v>1975</v>
      </c>
      <c r="F14" s="75">
        <v>2508</v>
      </c>
      <c r="G14" s="79">
        <v>0</v>
      </c>
      <c r="H14" s="79">
        <v>0</v>
      </c>
      <c r="I14" s="79">
        <v>0</v>
      </c>
      <c r="J14" s="79">
        <f t="shared" si="1"/>
        <v>0</v>
      </c>
      <c r="K14" s="79">
        <f t="shared" si="2"/>
        <v>0</v>
      </c>
      <c r="L14" s="79">
        <f t="shared" si="3"/>
        <v>0</v>
      </c>
      <c r="M14" s="79">
        <v>290485.30153795</v>
      </c>
      <c r="N14" s="79">
        <v>204640.39153121255</v>
      </c>
      <c r="O14" s="79">
        <v>275354.05224888364</v>
      </c>
      <c r="P14" s="79">
        <f t="shared" si="4"/>
        <v>256826.58177268205</v>
      </c>
      <c r="Q14" s="79">
        <f t="shared" si="5"/>
        <v>17387.159586010574</v>
      </c>
      <c r="R14" s="80">
        <f t="shared" si="6"/>
        <v>25.682658177268205</v>
      </c>
      <c r="S14" s="85">
        <v>96869</v>
      </c>
      <c r="T14" s="85">
        <v>50412</v>
      </c>
      <c r="U14" s="85">
        <v>90734</v>
      </c>
      <c r="V14" s="82">
        <f t="shared" si="7"/>
        <v>79338.333333333328</v>
      </c>
      <c r="W14" s="82">
        <f t="shared" si="8"/>
        <v>10615.468999999999</v>
      </c>
      <c r="X14" s="83">
        <f t="shared" si="9"/>
        <v>14.280900000000001</v>
      </c>
      <c r="Y14" s="82">
        <f t="shared" si="10"/>
        <v>336164.9151060154</v>
      </c>
      <c r="Z14" s="82">
        <f t="shared" si="11"/>
        <v>28002.628586010571</v>
      </c>
      <c r="AA14" s="83">
        <f t="shared" si="12"/>
        <v>39.963558177268204</v>
      </c>
      <c r="AB14" s="47">
        <f t="shared" si="13"/>
        <v>461519.48177268205</v>
      </c>
      <c r="AC14" s="84">
        <f t="shared" si="14"/>
        <v>184.01893212626877</v>
      </c>
    </row>
    <row r="15" spans="1:35" s="46" customFormat="1" ht="16" x14ac:dyDescent="0.2">
      <c r="A15" s="1">
        <v>15</v>
      </c>
      <c r="B15" s="76" t="s">
        <v>62</v>
      </c>
      <c r="C15" s="96" t="s">
        <v>122</v>
      </c>
      <c r="D15" s="76" t="s">
        <v>15</v>
      </c>
      <c r="E15" s="75">
        <v>1982</v>
      </c>
      <c r="F15" s="75">
        <f>1785.6+1190.4</f>
        <v>2976</v>
      </c>
      <c r="G15" s="79">
        <v>0</v>
      </c>
      <c r="H15" s="79">
        <v>0</v>
      </c>
      <c r="I15" s="79">
        <v>0</v>
      </c>
      <c r="J15" s="79">
        <f t="shared" si="1"/>
        <v>0</v>
      </c>
      <c r="K15" s="79">
        <f t="shared" si="2"/>
        <v>0</v>
      </c>
      <c r="L15" s="79">
        <f t="shared" si="3"/>
        <v>0</v>
      </c>
      <c r="M15" s="79">
        <v>364031.94103194104</v>
      </c>
      <c r="N15" s="79">
        <v>345685.50368550367</v>
      </c>
      <c r="O15" s="79">
        <v>337873.78378378373</v>
      </c>
      <c r="P15" s="79">
        <f t="shared" si="4"/>
        <v>349197.07616707613</v>
      </c>
      <c r="Q15" s="79">
        <f t="shared" si="5"/>
        <v>23640.642056511053</v>
      </c>
      <c r="R15" s="80">
        <f t="shared" si="6"/>
        <v>34.919707616707612</v>
      </c>
      <c r="S15" s="85">
        <v>64125</v>
      </c>
      <c r="T15" s="85">
        <v>34879</v>
      </c>
      <c r="U15" s="85">
        <v>63063</v>
      </c>
      <c r="V15" s="82">
        <f t="shared" si="7"/>
        <v>54022.333333333336</v>
      </c>
      <c r="W15" s="82">
        <f t="shared" si="8"/>
        <v>7228.1882000000005</v>
      </c>
      <c r="X15" s="83">
        <f t="shared" si="9"/>
        <v>9.7240200000000012</v>
      </c>
      <c r="Y15" s="82">
        <f t="shared" si="10"/>
        <v>403219.40950040944</v>
      </c>
      <c r="Z15" s="82">
        <f t="shared" si="11"/>
        <v>30868.830256511053</v>
      </c>
      <c r="AA15" s="83">
        <f t="shared" si="12"/>
        <v>44.643727616707615</v>
      </c>
      <c r="AB15" s="47">
        <f t="shared" si="13"/>
        <v>488574.69616707612</v>
      </c>
      <c r="AC15" s="84">
        <f t="shared" si="14"/>
        <v>164.17160489485084</v>
      </c>
    </row>
    <row r="16" spans="1:35" s="46" customFormat="1" ht="15" x14ac:dyDescent="0.2">
      <c r="A16" s="2">
        <v>4</v>
      </c>
      <c r="B16" s="76" t="s">
        <v>66</v>
      </c>
      <c r="C16" s="77" t="s">
        <v>69</v>
      </c>
      <c r="D16" s="76" t="s">
        <v>70</v>
      </c>
      <c r="E16" s="75">
        <v>2007</v>
      </c>
      <c r="F16" s="75">
        <v>3529</v>
      </c>
      <c r="G16" s="79">
        <v>444067</v>
      </c>
      <c r="H16" s="79">
        <v>555926</v>
      </c>
      <c r="I16" s="79">
        <v>631465</v>
      </c>
      <c r="J16" s="79">
        <f t="shared" si="1"/>
        <v>543819.33333333337</v>
      </c>
      <c r="K16" s="79">
        <f t="shared" si="2"/>
        <v>30997.702000000005</v>
      </c>
      <c r="L16" s="79">
        <f t="shared" si="3"/>
        <v>125.07844666666666</v>
      </c>
      <c r="M16" s="79">
        <v>0</v>
      </c>
      <c r="N16" s="79">
        <v>0</v>
      </c>
      <c r="O16" s="79">
        <v>0</v>
      </c>
      <c r="P16" s="79">
        <f t="shared" si="4"/>
        <v>0</v>
      </c>
      <c r="Q16" s="79">
        <f t="shared" si="5"/>
        <v>0</v>
      </c>
      <c r="R16" s="80">
        <f t="shared" si="6"/>
        <v>0</v>
      </c>
      <c r="S16" s="86">
        <v>122405</v>
      </c>
      <c r="T16" s="86">
        <v>58765</v>
      </c>
      <c r="U16" s="86">
        <v>104946</v>
      </c>
      <c r="V16" s="82">
        <f t="shared" si="7"/>
        <v>95372</v>
      </c>
      <c r="W16" s="82">
        <f t="shared" si="8"/>
        <v>12760.7736</v>
      </c>
      <c r="X16" s="83">
        <f t="shared" si="9"/>
        <v>17.16696</v>
      </c>
      <c r="Y16" s="82">
        <f t="shared" si="10"/>
        <v>639191.33333333337</v>
      </c>
      <c r="Z16" s="82">
        <f t="shared" si="11"/>
        <v>43758.475600000005</v>
      </c>
      <c r="AA16" s="83">
        <f t="shared" si="12"/>
        <v>142.24540666666667</v>
      </c>
      <c r="AB16" s="47">
        <f t="shared" si="13"/>
        <v>789879.09333333338</v>
      </c>
      <c r="AC16" s="84">
        <f t="shared" si="14"/>
        <v>223.82518938320584</v>
      </c>
    </row>
    <row r="17" spans="1:40" s="46" customFormat="1" ht="15" x14ac:dyDescent="0.2">
      <c r="A17" s="2">
        <v>2</v>
      </c>
      <c r="B17" s="76" t="s">
        <v>66</v>
      </c>
      <c r="C17" s="77" t="s">
        <v>67</v>
      </c>
      <c r="D17" s="75" t="s">
        <v>68</v>
      </c>
      <c r="E17" s="75">
        <v>2015</v>
      </c>
      <c r="F17" s="75">
        <v>2017</v>
      </c>
      <c r="G17" s="79">
        <v>221509</v>
      </c>
      <c r="H17" s="79">
        <v>369882</v>
      </c>
      <c r="I17" s="79">
        <v>420096</v>
      </c>
      <c r="J17" s="79">
        <f t="shared" si="1"/>
        <v>337162.33333333331</v>
      </c>
      <c r="K17" s="79">
        <f t="shared" si="2"/>
        <v>19218.253000000001</v>
      </c>
      <c r="L17" s="79">
        <f t="shared" si="3"/>
        <v>77.547336666666652</v>
      </c>
      <c r="M17" s="79">
        <v>0</v>
      </c>
      <c r="N17" s="79">
        <v>0</v>
      </c>
      <c r="O17" s="79">
        <v>0</v>
      </c>
      <c r="P17" s="79">
        <f t="shared" si="4"/>
        <v>0</v>
      </c>
      <c r="Q17" s="79">
        <f t="shared" si="5"/>
        <v>0</v>
      </c>
      <c r="R17" s="80">
        <f t="shared" si="6"/>
        <v>0</v>
      </c>
      <c r="S17" s="86">
        <v>413298</v>
      </c>
      <c r="T17" s="86">
        <v>301834</v>
      </c>
      <c r="U17" s="86">
        <v>450162</v>
      </c>
      <c r="V17" s="82">
        <f t="shared" si="7"/>
        <v>388431.33333333331</v>
      </c>
      <c r="W17" s="82">
        <f t="shared" si="8"/>
        <v>51972.112399999998</v>
      </c>
      <c r="X17" s="83">
        <f t="shared" si="9"/>
        <v>69.917640000000006</v>
      </c>
      <c r="Y17" s="82">
        <f t="shared" si="10"/>
        <v>725593.66666666663</v>
      </c>
      <c r="Z17" s="82">
        <f t="shared" si="11"/>
        <v>71190.365399999995</v>
      </c>
      <c r="AA17" s="83">
        <f t="shared" si="12"/>
        <v>147.46497666666664</v>
      </c>
      <c r="AB17" s="47">
        <f t="shared" si="13"/>
        <v>1339315.1733333333</v>
      </c>
      <c r="AC17" s="84">
        <f t="shared" si="14"/>
        <v>664.01347215336307</v>
      </c>
    </row>
    <row r="18" spans="1:40" s="46" customFormat="1" ht="14" customHeight="1" x14ac:dyDescent="0.15">
      <c r="A18" s="1">
        <v>20</v>
      </c>
      <c r="B18" s="76" t="s">
        <v>63</v>
      </c>
      <c r="C18" s="77" t="s">
        <v>21</v>
      </c>
      <c r="D18" s="76" t="s">
        <v>22</v>
      </c>
      <c r="E18" s="75">
        <v>1980</v>
      </c>
      <c r="F18" s="75">
        <v>2439</v>
      </c>
      <c r="G18" s="79">
        <v>0</v>
      </c>
      <c r="H18" s="79">
        <v>0</v>
      </c>
      <c r="I18" s="79">
        <v>0</v>
      </c>
      <c r="J18" s="79">
        <f t="shared" si="1"/>
        <v>0</v>
      </c>
      <c r="K18" s="79">
        <f t="shared" si="2"/>
        <v>0</v>
      </c>
      <c r="L18" s="79">
        <f t="shared" si="3"/>
        <v>0</v>
      </c>
      <c r="M18" s="79">
        <v>273000.00000000041</v>
      </c>
      <c r="N18" s="79">
        <v>254000</v>
      </c>
      <c r="O18" s="79">
        <v>324370.00000000017</v>
      </c>
      <c r="P18" s="79">
        <f t="shared" si="4"/>
        <v>283790.00000000023</v>
      </c>
      <c r="Q18" s="79">
        <f t="shared" si="5"/>
        <v>19212.583000000013</v>
      </c>
      <c r="R18" s="80">
        <f t="shared" si="6"/>
        <v>28.379000000000026</v>
      </c>
      <c r="S18" s="85">
        <v>74407</v>
      </c>
      <c r="T18" s="85">
        <v>37749</v>
      </c>
      <c r="U18" s="85">
        <v>79601</v>
      </c>
      <c r="V18" s="82">
        <f t="shared" si="7"/>
        <v>63919</v>
      </c>
      <c r="W18" s="82">
        <f t="shared" si="8"/>
        <v>8552.3621999999996</v>
      </c>
      <c r="X18" s="83">
        <f t="shared" si="9"/>
        <v>11.505420000000001</v>
      </c>
      <c r="Y18" s="82">
        <f t="shared" si="10"/>
        <v>347709.00000000023</v>
      </c>
      <c r="Z18" s="82">
        <f t="shared" si="11"/>
        <v>27764.945200000013</v>
      </c>
      <c r="AA18" s="83">
        <f t="shared" si="12"/>
        <v>39.884420000000027</v>
      </c>
      <c r="AB18" s="47">
        <f t="shared" si="13"/>
        <v>448701.02000000025</v>
      </c>
      <c r="AC18" s="84">
        <f t="shared" si="14"/>
        <v>183.96925789257904</v>
      </c>
      <c r="AD18" s="93"/>
      <c r="AE18" s="94"/>
      <c r="AF18" s="95"/>
      <c r="AH18"/>
      <c r="AI18"/>
      <c r="AJ18"/>
      <c r="AK18"/>
      <c r="AL18"/>
      <c r="AM18"/>
      <c r="AN18"/>
    </row>
    <row r="19" spans="1:40" ht="14" customHeight="1" x14ac:dyDescent="0.15">
      <c r="A19" s="75">
        <v>35</v>
      </c>
      <c r="B19" s="76" t="s">
        <v>8</v>
      </c>
      <c r="C19" s="87" t="s">
        <v>119</v>
      </c>
      <c r="D19" s="76" t="s">
        <v>120</v>
      </c>
      <c r="E19" s="75">
        <v>1978</v>
      </c>
      <c r="F19" s="75">
        <v>2871</v>
      </c>
      <c r="G19" s="88">
        <v>0</v>
      </c>
      <c r="H19" s="88">
        <v>0</v>
      </c>
      <c r="I19" s="88">
        <v>0</v>
      </c>
      <c r="J19" s="88">
        <f t="shared" si="1"/>
        <v>0</v>
      </c>
      <c r="K19" s="88">
        <f t="shared" si="2"/>
        <v>0</v>
      </c>
      <c r="L19" s="88">
        <f t="shared" si="3"/>
        <v>0</v>
      </c>
      <c r="M19" s="88">
        <v>226221.17432309096</v>
      </c>
      <c r="N19" s="88">
        <v>197397.62701551567</v>
      </c>
      <c r="O19" s="88">
        <v>132448.56708244598</v>
      </c>
      <c r="P19" s="88">
        <f t="shared" si="4"/>
        <v>185355.78947368418</v>
      </c>
      <c r="Q19" s="88">
        <f t="shared" si="5"/>
        <v>12548.586947368418</v>
      </c>
      <c r="R19" s="89">
        <f t="shared" si="6"/>
        <v>18.535578947368418</v>
      </c>
      <c r="S19" s="88">
        <v>89747</v>
      </c>
      <c r="T19" s="88">
        <v>44713</v>
      </c>
      <c r="U19" s="88">
        <v>81552</v>
      </c>
      <c r="V19" s="90">
        <f t="shared" si="7"/>
        <v>72004</v>
      </c>
      <c r="W19" s="90">
        <f t="shared" si="8"/>
        <v>9634.1352000000006</v>
      </c>
      <c r="X19" s="91">
        <f t="shared" si="9"/>
        <v>12.96072</v>
      </c>
      <c r="Y19" s="90">
        <f t="shared" si="10"/>
        <v>257359.78947368418</v>
      </c>
      <c r="Z19" s="90">
        <f t="shared" si="11"/>
        <v>22182.722147368419</v>
      </c>
      <c r="AA19" s="91">
        <f t="shared" si="12"/>
        <v>31.496298947368416</v>
      </c>
      <c r="AB19" s="92">
        <f t="shared" si="13"/>
        <v>371126.10947368422</v>
      </c>
      <c r="AC19" s="84">
        <f t="shared" si="14"/>
        <v>129.2671924324919</v>
      </c>
      <c r="AD19" s="74"/>
      <c r="AE19" s="74"/>
      <c r="AF19" s="74"/>
    </row>
    <row r="20" spans="1:40" ht="14" customHeight="1" x14ac:dyDescent="0.15">
      <c r="A20" s="2">
        <v>3</v>
      </c>
      <c r="B20" s="65" t="s">
        <v>63</v>
      </c>
      <c r="C20" s="66" t="s">
        <v>64</v>
      </c>
      <c r="D20" s="65" t="s">
        <v>65</v>
      </c>
      <c r="E20" s="67">
        <v>1984</v>
      </c>
      <c r="F20" s="67">
        <v>4364</v>
      </c>
      <c r="G20" s="68">
        <v>580125</v>
      </c>
      <c r="H20" s="68">
        <v>696608</v>
      </c>
      <c r="I20" s="68">
        <v>522357</v>
      </c>
      <c r="J20" s="68">
        <f t="shared" si="1"/>
        <v>599696.66666666663</v>
      </c>
      <c r="K20" s="68">
        <f t="shared" si="2"/>
        <v>34182.71</v>
      </c>
      <c r="L20" s="68">
        <f t="shared" si="3"/>
        <v>137.93023333333332</v>
      </c>
      <c r="M20" s="68">
        <v>0</v>
      </c>
      <c r="N20" s="68">
        <v>0</v>
      </c>
      <c r="O20" s="68">
        <v>0</v>
      </c>
      <c r="P20" s="68">
        <f t="shared" si="4"/>
        <v>0</v>
      </c>
      <c r="Q20" s="68">
        <f t="shared" si="5"/>
        <v>0</v>
      </c>
      <c r="R20" s="69">
        <f t="shared" si="6"/>
        <v>0</v>
      </c>
      <c r="S20" s="68">
        <v>87568</v>
      </c>
      <c r="T20" s="68">
        <v>50958</v>
      </c>
      <c r="U20" s="68">
        <v>126332</v>
      </c>
      <c r="V20" s="70">
        <f t="shared" si="7"/>
        <v>88286</v>
      </c>
      <c r="W20" s="70">
        <f t="shared" si="8"/>
        <v>11812.666800000001</v>
      </c>
      <c r="X20" s="71">
        <f t="shared" si="9"/>
        <v>15.891480000000001</v>
      </c>
      <c r="Y20" s="70">
        <f t="shared" si="10"/>
        <v>687982.66666666663</v>
      </c>
      <c r="Z20" s="70">
        <f t="shared" si="11"/>
        <v>45995.376799999998</v>
      </c>
      <c r="AA20" s="71">
        <f t="shared" si="12"/>
        <v>153.82171333333332</v>
      </c>
      <c r="AB20" s="72">
        <f t="shared" si="13"/>
        <v>827474.54666666663</v>
      </c>
      <c r="AC20" s="73">
        <f t="shared" si="14"/>
        <v>189.61378246257254</v>
      </c>
      <c r="AD20" s="74"/>
      <c r="AE20" s="74"/>
      <c r="AF20" s="74"/>
    </row>
    <row r="21" spans="1:40" ht="14" customHeight="1" x14ac:dyDescent="0.15">
      <c r="A21" s="1">
        <v>12</v>
      </c>
      <c r="B21" s="65" t="s">
        <v>62</v>
      </c>
      <c r="C21" s="66" t="s">
        <v>76</v>
      </c>
      <c r="D21" s="65" t="s">
        <v>77</v>
      </c>
      <c r="E21" s="67">
        <v>1983</v>
      </c>
      <c r="F21" s="67">
        <v>3007</v>
      </c>
      <c r="G21" s="68">
        <v>296695</v>
      </c>
      <c r="H21" s="68">
        <v>419886</v>
      </c>
      <c r="I21" s="68">
        <v>335536</v>
      </c>
      <c r="J21" s="68">
        <f t="shared" si="1"/>
        <v>350705.66666666669</v>
      </c>
      <c r="K21" s="68">
        <f t="shared" si="2"/>
        <v>19990.223000000002</v>
      </c>
      <c r="L21" s="68">
        <f t="shared" si="3"/>
        <v>80.662303333333341</v>
      </c>
      <c r="M21" s="68">
        <v>0</v>
      </c>
      <c r="N21" s="68">
        <v>0</v>
      </c>
      <c r="O21" s="68">
        <v>0</v>
      </c>
      <c r="P21" s="68">
        <f t="shared" si="4"/>
        <v>0</v>
      </c>
      <c r="Q21" s="68">
        <f t="shared" si="5"/>
        <v>0</v>
      </c>
      <c r="R21" s="69">
        <f t="shared" si="6"/>
        <v>0</v>
      </c>
      <c r="S21" s="68">
        <v>81652</v>
      </c>
      <c r="T21" s="68">
        <v>45259</v>
      </c>
      <c r="U21" s="68">
        <v>105907</v>
      </c>
      <c r="V21" s="70">
        <f t="shared" si="7"/>
        <v>77606</v>
      </c>
      <c r="W21" s="70">
        <f t="shared" si="8"/>
        <v>10383.6828</v>
      </c>
      <c r="X21" s="71">
        <f t="shared" si="9"/>
        <v>13.969080000000002</v>
      </c>
      <c r="Y21" s="70">
        <f t="shared" si="10"/>
        <v>428311.66666666669</v>
      </c>
      <c r="Z21" s="70">
        <f t="shared" si="11"/>
        <v>30373.9058</v>
      </c>
      <c r="AA21" s="71">
        <f t="shared" si="12"/>
        <v>94.631383333333346</v>
      </c>
      <c r="AB21" s="72">
        <f t="shared" si="13"/>
        <v>550929.14666666673</v>
      </c>
      <c r="AC21" s="73">
        <f t="shared" si="14"/>
        <v>183.21554594834276</v>
      </c>
      <c r="AD21" s="74"/>
      <c r="AE21" s="74"/>
      <c r="AF21" s="74"/>
    </row>
    <row r="22" spans="1:40" ht="14" x14ac:dyDescent="0.15">
      <c r="A22" s="1">
        <v>16</v>
      </c>
      <c r="B22" s="65" t="s">
        <v>8</v>
      </c>
      <c r="C22" s="66" t="s">
        <v>13</v>
      </c>
      <c r="D22" s="65" t="s">
        <v>14</v>
      </c>
      <c r="E22" s="67">
        <v>1979</v>
      </c>
      <c r="F22" s="67">
        <v>3262</v>
      </c>
      <c r="G22" s="68">
        <v>0</v>
      </c>
      <c r="H22" s="68">
        <v>0</v>
      </c>
      <c r="I22" s="68">
        <v>0</v>
      </c>
      <c r="J22" s="68">
        <f t="shared" si="1"/>
        <v>0</v>
      </c>
      <c r="K22" s="68">
        <f t="shared" si="2"/>
        <v>0</v>
      </c>
      <c r="L22" s="68">
        <f t="shared" si="3"/>
        <v>0</v>
      </c>
      <c r="M22" s="68">
        <v>355456.52109381952</v>
      </c>
      <c r="N22" s="68">
        <v>338648.25042300124</v>
      </c>
      <c r="O22" s="68">
        <v>334021.95700776007</v>
      </c>
      <c r="P22" s="68">
        <f t="shared" si="4"/>
        <v>342708.90950819361</v>
      </c>
      <c r="Q22" s="68">
        <f t="shared" si="5"/>
        <v>23201.393173704706</v>
      </c>
      <c r="R22" s="69">
        <f t="shared" si="6"/>
        <v>34.270890950819364</v>
      </c>
      <c r="S22" s="68">
        <v>79106.997257006558</v>
      </c>
      <c r="T22" s="68">
        <v>38162.722242098986</v>
      </c>
      <c r="U22" s="68">
        <v>62450.404770423374</v>
      </c>
      <c r="V22" s="70">
        <f t="shared" si="7"/>
        <v>59906.708089842978</v>
      </c>
      <c r="W22" s="70">
        <f t="shared" si="8"/>
        <v>8015.5175424209901</v>
      </c>
      <c r="X22" s="71">
        <f t="shared" si="9"/>
        <v>10.783207456171736</v>
      </c>
      <c r="Y22" s="70">
        <f t="shared" si="10"/>
        <v>402615.6175980366</v>
      </c>
      <c r="Z22" s="70">
        <f t="shared" si="11"/>
        <v>31216.910716125698</v>
      </c>
      <c r="AA22" s="71">
        <f t="shared" si="12"/>
        <v>45.054098406991102</v>
      </c>
      <c r="AB22" s="72">
        <f t="shared" si="13"/>
        <v>497268.21637998847</v>
      </c>
      <c r="AC22" s="73">
        <f t="shared" si="14"/>
        <v>152.44273954015588</v>
      </c>
    </row>
    <row r="23" spans="1:40" x14ac:dyDescent="0.15">
      <c r="E23" s="57" t="s">
        <v>123</v>
      </c>
      <c r="F23" s="9">
        <f>SUM(F12:F22)</f>
        <v>33991</v>
      </c>
      <c r="V23" s="32">
        <f>SUM(V4:V19)</f>
        <v>2573336.2790002399</v>
      </c>
      <c r="W23" s="19">
        <f t="shared" si="8"/>
        <v>344312.3941302321</v>
      </c>
      <c r="X23" s="20">
        <f t="shared" si="9"/>
        <v>463.20053022004322</v>
      </c>
    </row>
    <row r="24" spans="1:40" x14ac:dyDescent="0.15">
      <c r="E24" s="33" t="s">
        <v>121</v>
      </c>
      <c r="F24" s="37">
        <f>F5+F11+F23</f>
        <v>58483</v>
      </c>
      <c r="G24" s="57" t="s">
        <v>116</v>
      </c>
      <c r="V24" s="32"/>
      <c r="W24" s="19"/>
      <c r="X24" s="20"/>
    </row>
    <row r="26" spans="1:40" x14ac:dyDescent="0.15">
      <c r="W26" s="64" t="s">
        <v>133</v>
      </c>
      <c r="Y26" s="64" t="s">
        <v>94</v>
      </c>
      <c r="Z26" s="64" t="s">
        <v>95</v>
      </c>
      <c r="AA26" s="64" t="s">
        <v>96</v>
      </c>
    </row>
    <row r="27" spans="1:40" x14ac:dyDescent="0.15">
      <c r="B27" s="54" t="s">
        <v>101</v>
      </c>
      <c r="C27" s="44"/>
      <c r="D27" s="43" t="s">
        <v>92</v>
      </c>
      <c r="F27" s="9" t="s">
        <v>2</v>
      </c>
      <c r="G27" s="57" t="s">
        <v>115</v>
      </c>
      <c r="W27" s="40">
        <f>W23/V23</f>
        <v>0.1338</v>
      </c>
      <c r="Y27" s="32">
        <f>SUM(Y4:Y22)</f>
        <v>9195703.3036556747</v>
      </c>
      <c r="Z27" s="32">
        <f>SUM(Z4:Z22)</f>
        <v>777194.49720414344</v>
      </c>
      <c r="AA27" s="32">
        <f>SUM(AA4:AA22)</f>
        <v>1512.5728193327736</v>
      </c>
    </row>
    <row r="28" spans="1:40" ht="14" x14ac:dyDescent="0.15">
      <c r="C28" s="21" t="s">
        <v>28</v>
      </c>
      <c r="D28" s="29" t="s">
        <v>29</v>
      </c>
      <c r="F28" s="30">
        <f>F5/3</f>
        <v>3833.3333333333335</v>
      </c>
    </row>
    <row r="29" spans="1:40" ht="14" x14ac:dyDescent="0.15">
      <c r="C29" s="21" t="s">
        <v>27</v>
      </c>
      <c r="D29" t="s">
        <v>86</v>
      </c>
      <c r="F29" s="9">
        <f>F11</f>
        <v>12992</v>
      </c>
      <c r="V29" s="46"/>
      <c r="W29" s="46"/>
      <c r="X29" s="46"/>
      <c r="Y29" s="46"/>
      <c r="Z29" s="46"/>
      <c r="AA29" s="46"/>
    </row>
    <row r="30" spans="1:40" ht="14" x14ac:dyDescent="0.15">
      <c r="C30" s="21" t="s">
        <v>0</v>
      </c>
      <c r="D30" t="s">
        <v>1</v>
      </c>
      <c r="F30" s="31">
        <f>F23/2</f>
        <v>16995.5</v>
      </c>
      <c r="V30" s="46"/>
      <c r="W30" s="46"/>
      <c r="X30" s="46"/>
      <c r="Y30" s="46"/>
      <c r="Z30" s="56"/>
      <c r="AA30" s="46"/>
    </row>
    <row r="31" spans="1:40" x14ac:dyDescent="0.15">
      <c r="F31" s="30">
        <f>F28+F29+F30</f>
        <v>33820.833333333328</v>
      </c>
      <c r="V31" s="46"/>
      <c r="W31" s="46"/>
      <c r="X31" s="46"/>
      <c r="Y31" s="46"/>
      <c r="Z31" s="46"/>
      <c r="AA31" s="46"/>
    </row>
    <row r="32" spans="1:40" x14ac:dyDescent="0.15">
      <c r="D32" s="58" t="s">
        <v>108</v>
      </c>
      <c r="E32" s="44"/>
      <c r="F32" s="44">
        <f>F31*300</f>
        <v>10146249.999999998</v>
      </c>
      <c r="G32" s="57" t="s">
        <v>199</v>
      </c>
      <c r="V32" s="46"/>
      <c r="W32" s="46"/>
      <c r="X32" s="46"/>
      <c r="Y32" s="46"/>
      <c r="Z32" s="46"/>
      <c r="AA32" s="46"/>
    </row>
    <row r="33" spans="4:27" x14ac:dyDescent="0.15">
      <c r="F33" t="s">
        <v>3</v>
      </c>
      <c r="V33" s="46"/>
      <c r="W33" s="46"/>
      <c r="X33" s="46"/>
      <c r="Y33" s="46"/>
      <c r="Z33" s="46"/>
      <c r="AA33" s="46"/>
    </row>
    <row r="34" spans="4:27" x14ac:dyDescent="0.15">
      <c r="V34" s="46"/>
      <c r="W34" s="46"/>
      <c r="X34" s="46"/>
      <c r="Y34" s="46"/>
      <c r="Z34" s="46"/>
      <c r="AA34" s="46"/>
    </row>
    <row r="35" spans="4:27" x14ac:dyDescent="0.15">
      <c r="D35" s="58" t="s">
        <v>117</v>
      </c>
    </row>
    <row r="36" spans="4:27" x14ac:dyDescent="0.15">
      <c r="G36" s="64" t="s">
        <v>94</v>
      </c>
      <c r="H36" s="64" t="s">
        <v>95</v>
      </c>
      <c r="I36" s="64" t="s">
        <v>96</v>
      </c>
      <c r="J36" s="9"/>
    </row>
    <row r="37" spans="4:27" x14ac:dyDescent="0.15">
      <c r="D37" s="55" t="s">
        <v>102</v>
      </c>
      <c r="G37" s="34">
        <f>Y27*0.25</f>
        <v>2298925.8259139187</v>
      </c>
      <c r="H37" s="34">
        <f>Z27*0.25</f>
        <v>194298.62430103586</v>
      </c>
      <c r="I37" s="34">
        <f>AA27*0.25</f>
        <v>378.14320483319341</v>
      </c>
      <c r="J37" s="9"/>
    </row>
    <row r="38" spans="4:27" x14ac:dyDescent="0.15">
      <c r="G38" s="35"/>
      <c r="H38" s="35"/>
      <c r="I38" s="35"/>
      <c r="J38" s="9"/>
    </row>
    <row r="39" spans="4:27" x14ac:dyDescent="0.15">
      <c r="D39" t="s">
        <v>85</v>
      </c>
      <c r="G39" s="36">
        <f>(Y27-G37)*0.14</f>
        <v>965548.84688384586</v>
      </c>
      <c r="H39" s="36">
        <f>(Z27-H37)*0.14</f>
        <v>81605.422206435062</v>
      </c>
      <c r="I39" s="36">
        <f>(AA27-I37)*0.14</f>
        <v>158.82014602994124</v>
      </c>
      <c r="J39" s="9"/>
    </row>
    <row r="40" spans="4:27" x14ac:dyDescent="0.15">
      <c r="G40" s="9"/>
      <c r="H40" s="9"/>
      <c r="I40" s="9"/>
      <c r="J40" s="9"/>
    </row>
    <row r="41" spans="4:27" x14ac:dyDescent="0.15">
      <c r="G41" s="9"/>
      <c r="H41" s="9"/>
      <c r="I41" s="9"/>
      <c r="J41" s="9"/>
    </row>
    <row r="42" spans="4:27" x14ac:dyDescent="0.15">
      <c r="D42" s="57" t="s">
        <v>105</v>
      </c>
      <c r="G42" s="37">
        <f>(0.5/2)*0.14*(Y27-(G37+G39))</f>
        <v>207593.00208002687</v>
      </c>
      <c r="H42" s="37">
        <f>(0.5/2)*0.14*(Z27-H37-H39)</f>
        <v>17545.165774383539</v>
      </c>
      <c r="I42" s="37">
        <f>(0.5/2)*0.14*(AA27-I37-I39)</f>
        <v>34.146331396437361</v>
      </c>
      <c r="J42" s="9"/>
    </row>
    <row r="43" spans="4:27" x14ac:dyDescent="0.15">
      <c r="G43" s="37"/>
      <c r="H43" s="37"/>
      <c r="I43" s="37"/>
      <c r="J43" s="9"/>
    </row>
    <row r="44" spans="4:27" x14ac:dyDescent="0.15">
      <c r="D44" s="33" t="s">
        <v>91</v>
      </c>
      <c r="G44" s="42">
        <f>G37+G39+G42</f>
        <v>3472067.6748777917</v>
      </c>
      <c r="H44" s="42">
        <f>H37+H39+H42</f>
        <v>293449.21228185442</v>
      </c>
      <c r="I44" s="42">
        <f>I37+I39+I42</f>
        <v>571.10968225957208</v>
      </c>
      <c r="J44" s="9"/>
    </row>
    <row r="45" spans="4:27" x14ac:dyDescent="0.15">
      <c r="G45" s="9"/>
      <c r="H45" s="33"/>
      <c r="I45" s="37"/>
      <c r="J45" s="9"/>
    </row>
    <row r="46" spans="4:27" x14ac:dyDescent="0.15">
      <c r="D46" s="44" t="s">
        <v>93</v>
      </c>
      <c r="G46" s="9"/>
      <c r="H46" s="33"/>
      <c r="I46" s="37"/>
      <c r="J46" s="9"/>
    </row>
    <row r="47" spans="4:27" x14ac:dyDescent="0.15">
      <c r="D47" t="s">
        <v>4</v>
      </c>
      <c r="G47" s="9"/>
      <c r="H47" s="9"/>
      <c r="I47" s="9"/>
      <c r="J47" s="9"/>
    </row>
    <row r="48" spans="4:27" x14ac:dyDescent="0.15">
      <c r="D48" t="s">
        <v>89</v>
      </c>
      <c r="F48" s="38">
        <f>8.7/1.665</f>
        <v>5.2252252252252243</v>
      </c>
      <c r="G48" s="9" t="s">
        <v>90</v>
      </c>
      <c r="H48" s="9"/>
      <c r="I48" s="42">
        <f>(F48/1000)*F31</f>
        <v>176.7214714714714</v>
      </c>
      <c r="J48" s="64" t="s">
        <v>32</v>
      </c>
    </row>
    <row r="49" spans="2:12" x14ac:dyDescent="0.15">
      <c r="D49" s="55" t="s">
        <v>103</v>
      </c>
      <c r="F49">
        <f>-17.8</f>
        <v>-17.8</v>
      </c>
      <c r="G49" s="9" t="s">
        <v>90</v>
      </c>
      <c r="I49" s="42">
        <f>F49*F31/1000</f>
        <v>-602.01083333333327</v>
      </c>
      <c r="J49" s="64" t="s">
        <v>32</v>
      </c>
    </row>
    <row r="51" spans="2:12" x14ac:dyDescent="0.15">
      <c r="I51" s="34"/>
    </row>
    <row r="52" spans="2:12" x14ac:dyDescent="0.15">
      <c r="B52" s="44" t="s">
        <v>87</v>
      </c>
      <c r="C52" s="44"/>
      <c r="F52" s="9" t="s">
        <v>88</v>
      </c>
      <c r="G52" s="64" t="s">
        <v>118</v>
      </c>
      <c r="H52" s="64" t="s">
        <v>95</v>
      </c>
      <c r="I52" s="64" t="s">
        <v>96</v>
      </c>
    </row>
    <row r="53" spans="2:12" x14ac:dyDescent="0.15">
      <c r="C53" s="57" t="s">
        <v>107</v>
      </c>
      <c r="F53" s="42">
        <f>0.75*F31</f>
        <v>25365.624999999996</v>
      </c>
      <c r="G53" s="51">
        <f>D54*F53</f>
        <v>12048671.874999998</v>
      </c>
      <c r="H53" s="42">
        <f>G53*W27</f>
        <v>1612112.2968749998</v>
      </c>
      <c r="I53" s="42">
        <f>67*G53/1000000</f>
        <v>807.26101562499991</v>
      </c>
      <c r="L53" s="57"/>
    </row>
    <row r="54" spans="2:12" x14ac:dyDescent="0.15">
      <c r="D54" s="9">
        <f>250*1900/1000</f>
        <v>475</v>
      </c>
      <c r="F54" s="37"/>
      <c r="G54" s="39"/>
      <c r="H54" s="37"/>
      <c r="I54" s="37"/>
    </row>
    <row r="55" spans="2:12" x14ac:dyDescent="0.15">
      <c r="D55" s="9"/>
      <c r="F55" s="62" t="s">
        <v>112</v>
      </c>
      <c r="G55" s="39"/>
      <c r="H55" s="37"/>
      <c r="I55" s="37"/>
    </row>
    <row r="56" spans="2:12" x14ac:dyDescent="0.15">
      <c r="D56" s="44"/>
      <c r="E56" s="60" t="s">
        <v>109</v>
      </c>
      <c r="F56" s="42">
        <f>F53*(899000/2469)</f>
        <v>9236005.214661805</v>
      </c>
      <c r="G56" s="57" t="s">
        <v>113</v>
      </c>
      <c r="J56" s="46"/>
    </row>
    <row r="57" spans="2:12" x14ac:dyDescent="0.15">
      <c r="D57" s="46"/>
      <c r="E57" s="46"/>
      <c r="F57" s="61" t="s">
        <v>32</v>
      </c>
      <c r="I57" s="37"/>
      <c r="J57" s="46"/>
    </row>
    <row r="58" spans="2:12" x14ac:dyDescent="0.15">
      <c r="D58" s="44"/>
      <c r="E58" s="60" t="s">
        <v>110</v>
      </c>
      <c r="F58" s="42">
        <f>250*355*F53/1000000</f>
        <v>2251.1992187499995</v>
      </c>
      <c r="G58" t="s">
        <v>111</v>
      </c>
      <c r="J58" s="59"/>
    </row>
    <row r="59" spans="2:12" x14ac:dyDescent="0.15">
      <c r="D59" s="45"/>
      <c r="G59" s="9"/>
      <c r="H59" s="9"/>
      <c r="I59" s="37"/>
    </row>
    <row r="60" spans="2:12" x14ac:dyDescent="0.15">
      <c r="C60" s="44"/>
      <c r="D60" s="49"/>
      <c r="E60" s="44"/>
      <c r="F60" s="50" t="s">
        <v>98</v>
      </c>
      <c r="G60" s="48" t="s">
        <v>94</v>
      </c>
      <c r="H60" s="48" t="s">
        <v>95</v>
      </c>
      <c r="I60" s="42" t="s">
        <v>96</v>
      </c>
    </row>
    <row r="61" spans="2:12" x14ac:dyDescent="0.15">
      <c r="C61" s="44"/>
      <c r="D61" s="44"/>
      <c r="E61" s="44"/>
      <c r="F61" s="50" t="s">
        <v>97</v>
      </c>
      <c r="G61" s="42">
        <f>G44+G53</f>
        <v>15520739.549877789</v>
      </c>
      <c r="H61" s="42">
        <f>H44+H53</f>
        <v>1905561.5091568541</v>
      </c>
      <c r="I61" s="42">
        <f>I44+I53</f>
        <v>1378.3706978845721</v>
      </c>
    </row>
    <row r="62" spans="2:12" x14ac:dyDescent="0.15">
      <c r="L62" s="57"/>
    </row>
    <row r="64" spans="2:12" x14ac:dyDescent="0.15">
      <c r="D64" s="52" t="s">
        <v>100</v>
      </c>
      <c r="E64" s="9"/>
      <c r="G64" s="47"/>
      <c r="H64" s="47"/>
      <c r="I64" s="47"/>
    </row>
    <row r="65" spans="1:31" x14ac:dyDescent="0.15">
      <c r="C65" s="58" t="s">
        <v>127</v>
      </c>
      <c r="D65" s="44"/>
      <c r="E65" s="44"/>
      <c r="F65" s="44"/>
      <c r="G65" s="44"/>
      <c r="H65" s="44"/>
    </row>
    <row r="66" spans="1:31" x14ac:dyDescent="0.15">
      <c r="B66" s="46"/>
      <c r="C66" s="58" t="s">
        <v>128</v>
      </c>
      <c r="D66" s="44"/>
      <c r="E66" s="44"/>
      <c r="F66" s="44"/>
      <c r="G66" s="44"/>
      <c r="H66" s="44"/>
      <c r="I66" s="41"/>
    </row>
    <row r="67" spans="1:31" x14ac:dyDescent="0.15">
      <c r="B67" s="46"/>
      <c r="C67" s="58" t="s">
        <v>129</v>
      </c>
      <c r="D67" s="44"/>
      <c r="E67" s="44"/>
      <c r="F67" s="44"/>
      <c r="G67" s="44"/>
      <c r="H67" s="44"/>
      <c r="I67" s="41"/>
    </row>
    <row r="68" spans="1:31" x14ac:dyDescent="0.15">
      <c r="B68" s="46"/>
      <c r="C68" s="58" t="s">
        <v>130</v>
      </c>
      <c r="D68" s="44"/>
      <c r="E68" s="44"/>
      <c r="F68" s="44"/>
      <c r="G68" s="44"/>
      <c r="H68" s="44"/>
      <c r="I68" s="41"/>
    </row>
    <row r="69" spans="1:31" x14ac:dyDescent="0.15">
      <c r="B69" s="46"/>
      <c r="C69" s="58" t="s">
        <v>131</v>
      </c>
      <c r="D69" s="44"/>
      <c r="E69" s="44"/>
      <c r="F69" s="44"/>
      <c r="G69" s="44"/>
      <c r="H69" s="44"/>
      <c r="I69" s="41"/>
    </row>
    <row r="70" spans="1:31" x14ac:dyDescent="0.15">
      <c r="B70" s="46"/>
      <c r="C70" s="58" t="s">
        <v>132</v>
      </c>
      <c r="D70" s="44"/>
      <c r="E70" s="44"/>
      <c r="F70" s="63">
        <f>19.4/1.9</f>
        <v>10.210526315789473</v>
      </c>
      <c r="G70" s="58" t="s">
        <v>114</v>
      </c>
      <c r="H70" s="44"/>
      <c r="I70" s="41"/>
    </row>
    <row r="71" spans="1:31" x14ac:dyDescent="0.15">
      <c r="B71" s="46"/>
      <c r="C71" s="53" t="s">
        <v>104</v>
      </c>
      <c r="D71" s="44"/>
      <c r="E71" s="51"/>
      <c r="F71" s="51">
        <f>F58-2*I61</f>
        <v>-505.54217701914467</v>
      </c>
      <c r="G71" s="44" t="s">
        <v>99</v>
      </c>
      <c r="H71" s="44"/>
      <c r="J71" s="38"/>
    </row>
    <row r="72" spans="1:31" x14ac:dyDescent="0.15">
      <c r="D72" s="46"/>
    </row>
    <row r="74" spans="1:31" x14ac:dyDescent="0.15">
      <c r="A74" s="146" t="s">
        <v>142</v>
      </c>
      <c r="C74" s="38"/>
    </row>
    <row r="75" spans="1:31" ht="80" x14ac:dyDescent="0.15">
      <c r="A75" s="107" t="s">
        <v>134</v>
      </c>
      <c r="B75" s="108" t="s">
        <v>33</v>
      </c>
      <c r="C75" s="108"/>
      <c r="D75" s="108" t="s">
        <v>34</v>
      </c>
      <c r="E75" s="109" t="s">
        <v>35</v>
      </c>
      <c r="F75" s="109" t="s">
        <v>36</v>
      </c>
      <c r="G75" s="109" t="s">
        <v>37</v>
      </c>
      <c r="H75" s="110" t="s">
        <v>38</v>
      </c>
      <c r="I75" s="111" t="s">
        <v>39</v>
      </c>
      <c r="J75" s="111" t="s">
        <v>40</v>
      </c>
      <c r="K75" s="111" t="s">
        <v>41</v>
      </c>
      <c r="L75" s="111" t="s">
        <v>42</v>
      </c>
      <c r="M75" s="111" t="s">
        <v>43</v>
      </c>
      <c r="N75" s="111" t="s">
        <v>44</v>
      </c>
      <c r="O75" s="111" t="s">
        <v>45</v>
      </c>
      <c r="P75" s="111" t="s">
        <v>46</v>
      </c>
      <c r="Q75" s="111" t="s">
        <v>47</v>
      </c>
      <c r="R75" s="111" t="s">
        <v>48</v>
      </c>
      <c r="S75" s="111" t="s">
        <v>49</v>
      </c>
      <c r="T75" s="111" t="s">
        <v>50</v>
      </c>
      <c r="U75" s="111" t="s">
        <v>51</v>
      </c>
      <c r="V75" s="111" t="s">
        <v>52</v>
      </c>
      <c r="W75" s="111" t="s">
        <v>53</v>
      </c>
      <c r="X75" s="111" t="s">
        <v>54</v>
      </c>
      <c r="Y75" s="111" t="s">
        <v>55</v>
      </c>
      <c r="Z75" s="111" t="s">
        <v>56</v>
      </c>
      <c r="AA75" s="111" t="s">
        <v>57</v>
      </c>
      <c r="AB75" s="111" t="s">
        <v>58</v>
      </c>
      <c r="AC75" s="111" t="s">
        <v>59</v>
      </c>
      <c r="AD75" s="112" t="s">
        <v>60</v>
      </c>
      <c r="AE75" s="113" t="s">
        <v>61</v>
      </c>
    </row>
    <row r="76" spans="1:31" ht="68" x14ac:dyDescent="0.2">
      <c r="A76" s="114" t="s">
        <v>140</v>
      </c>
      <c r="B76" s="115">
        <v>2</v>
      </c>
      <c r="C76" s="116"/>
      <c r="D76" s="117" t="s">
        <v>66</v>
      </c>
      <c r="E76" s="118" t="s">
        <v>67</v>
      </c>
      <c r="F76" s="117" t="s">
        <v>68</v>
      </c>
      <c r="G76" s="119">
        <v>2015</v>
      </c>
      <c r="H76" s="119">
        <v>5969</v>
      </c>
      <c r="I76" s="120">
        <v>221509</v>
      </c>
      <c r="J76" s="120">
        <v>369882</v>
      </c>
      <c r="K76" s="120">
        <v>420096</v>
      </c>
      <c r="L76" s="120">
        <v>337162</v>
      </c>
      <c r="M76" s="120">
        <v>19218</v>
      </c>
      <c r="N76" s="120">
        <v>78</v>
      </c>
      <c r="O76" s="120">
        <v>0</v>
      </c>
      <c r="P76" s="120">
        <v>0</v>
      </c>
      <c r="Q76" s="120">
        <v>0</v>
      </c>
      <c r="R76" s="120">
        <v>0</v>
      </c>
      <c r="S76" s="120">
        <v>0</v>
      </c>
      <c r="T76" s="121">
        <v>0</v>
      </c>
      <c r="U76" s="122">
        <v>413298</v>
      </c>
      <c r="V76" s="122">
        <v>301834</v>
      </c>
      <c r="W76" s="122">
        <v>450162</v>
      </c>
      <c r="X76" s="123">
        <v>388431</v>
      </c>
      <c r="Y76" s="123">
        <v>51972</v>
      </c>
      <c r="Z76" s="124">
        <v>69.918000000000006</v>
      </c>
      <c r="AA76" s="123">
        <v>725594</v>
      </c>
      <c r="AB76" s="123">
        <v>71190</v>
      </c>
      <c r="AC76" s="124">
        <v>0</v>
      </c>
      <c r="AD76" s="125">
        <v>1339315</v>
      </c>
      <c r="AE76" s="126">
        <v>224</v>
      </c>
    </row>
    <row r="77" spans="1:31" ht="68" x14ac:dyDescent="0.2">
      <c r="A77" s="114" t="s">
        <v>140</v>
      </c>
      <c r="B77" s="127">
        <v>12</v>
      </c>
      <c r="C77" s="128"/>
      <c r="D77" s="117" t="s">
        <v>62</v>
      </c>
      <c r="E77" s="118" t="s">
        <v>76</v>
      </c>
      <c r="F77" s="117" t="s">
        <v>77</v>
      </c>
      <c r="G77" s="119">
        <v>1983</v>
      </c>
      <c r="H77" s="119">
        <v>3007</v>
      </c>
      <c r="I77" s="120">
        <v>296695</v>
      </c>
      <c r="J77" s="120">
        <v>419886</v>
      </c>
      <c r="K77" s="120">
        <v>335536</v>
      </c>
      <c r="L77" s="120">
        <v>350706</v>
      </c>
      <c r="M77" s="120">
        <v>19990</v>
      </c>
      <c r="N77" s="120">
        <v>81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1">
        <v>0</v>
      </c>
      <c r="U77" s="120">
        <v>81652</v>
      </c>
      <c r="V77" s="120">
        <v>45259</v>
      </c>
      <c r="W77" s="120">
        <v>105907</v>
      </c>
      <c r="X77" s="123">
        <v>77606</v>
      </c>
      <c r="Y77" s="123">
        <v>10384</v>
      </c>
      <c r="Z77" s="124">
        <v>13.968999999999999</v>
      </c>
      <c r="AA77" s="123">
        <v>428312</v>
      </c>
      <c r="AB77" s="123">
        <v>30374</v>
      </c>
      <c r="AC77" s="124">
        <v>94.631</v>
      </c>
      <c r="AD77" s="125">
        <v>550929</v>
      </c>
      <c r="AE77" s="126">
        <v>183</v>
      </c>
    </row>
    <row r="78" spans="1:31" ht="100" x14ac:dyDescent="0.2">
      <c r="A78" s="114" t="s">
        <v>140</v>
      </c>
      <c r="B78" s="127">
        <v>15</v>
      </c>
      <c r="C78" s="128"/>
      <c r="D78" s="117" t="s">
        <v>62</v>
      </c>
      <c r="E78" s="118" t="s">
        <v>136</v>
      </c>
      <c r="F78" s="117" t="s">
        <v>15</v>
      </c>
      <c r="G78" s="119">
        <v>1982</v>
      </c>
      <c r="H78" s="119">
        <v>2976</v>
      </c>
      <c r="I78" s="120">
        <v>0</v>
      </c>
      <c r="J78" s="120">
        <v>0</v>
      </c>
      <c r="K78" s="120">
        <v>0</v>
      </c>
      <c r="L78" s="120">
        <v>0</v>
      </c>
      <c r="M78" s="120">
        <v>0</v>
      </c>
      <c r="N78" s="120">
        <v>0</v>
      </c>
      <c r="O78" s="120">
        <v>364032</v>
      </c>
      <c r="P78" s="120">
        <v>345686</v>
      </c>
      <c r="Q78" s="120">
        <v>337874</v>
      </c>
      <c r="R78" s="120">
        <v>349197</v>
      </c>
      <c r="S78" s="120">
        <v>23641</v>
      </c>
      <c r="T78" s="121">
        <v>34.92</v>
      </c>
      <c r="U78" s="120">
        <v>64125</v>
      </c>
      <c r="V78" s="120">
        <v>34879</v>
      </c>
      <c r="W78" s="120">
        <v>63063</v>
      </c>
      <c r="X78" s="123">
        <v>54022</v>
      </c>
      <c r="Y78" s="123">
        <v>7228</v>
      </c>
      <c r="Z78" s="124">
        <v>9.7240000000000002</v>
      </c>
      <c r="AA78" s="123">
        <v>403219</v>
      </c>
      <c r="AB78" s="123">
        <v>30869</v>
      </c>
      <c r="AC78" s="124">
        <v>44.643999999999998</v>
      </c>
      <c r="AD78" s="125">
        <v>488575</v>
      </c>
      <c r="AE78" s="126">
        <v>164</v>
      </c>
    </row>
    <row r="79" spans="1:31" ht="68" x14ac:dyDescent="0.2">
      <c r="A79" s="114" t="s">
        <v>140</v>
      </c>
      <c r="B79" s="127">
        <v>16</v>
      </c>
      <c r="C79" s="128"/>
      <c r="D79" s="117" t="s">
        <v>8</v>
      </c>
      <c r="E79" s="118" t="s">
        <v>13</v>
      </c>
      <c r="F79" s="117" t="s">
        <v>14</v>
      </c>
      <c r="G79" s="119">
        <v>1979</v>
      </c>
      <c r="H79" s="119">
        <v>3262</v>
      </c>
      <c r="I79" s="120">
        <v>0</v>
      </c>
      <c r="J79" s="120">
        <v>0</v>
      </c>
      <c r="K79" s="120">
        <v>0</v>
      </c>
      <c r="L79" s="120">
        <v>0</v>
      </c>
      <c r="M79" s="120">
        <v>0</v>
      </c>
      <c r="N79" s="120">
        <v>0</v>
      </c>
      <c r="O79" s="120">
        <v>355457</v>
      </c>
      <c r="P79" s="120">
        <v>338648</v>
      </c>
      <c r="Q79" s="120">
        <v>334022</v>
      </c>
      <c r="R79" s="120">
        <v>342709</v>
      </c>
      <c r="S79" s="120">
        <v>23201</v>
      </c>
      <c r="T79" s="121">
        <v>34.271000000000001</v>
      </c>
      <c r="U79" s="120">
        <v>79107</v>
      </c>
      <c r="V79" s="120">
        <v>38163</v>
      </c>
      <c r="W79" s="120">
        <v>62450</v>
      </c>
      <c r="X79" s="123">
        <v>59907</v>
      </c>
      <c r="Y79" s="123">
        <v>8016</v>
      </c>
      <c r="Z79" s="124">
        <v>10.782999999999999</v>
      </c>
      <c r="AA79" s="123">
        <v>402616</v>
      </c>
      <c r="AB79" s="123">
        <v>31217</v>
      </c>
      <c r="AC79" s="124">
        <v>45.054000000000002</v>
      </c>
      <c r="AD79" s="125">
        <v>497268</v>
      </c>
      <c r="AE79" s="126">
        <v>152</v>
      </c>
    </row>
    <row r="80" spans="1:31" ht="85" x14ac:dyDescent="0.2">
      <c r="A80" s="114" t="s">
        <v>140</v>
      </c>
      <c r="B80" s="127">
        <v>17</v>
      </c>
      <c r="C80" s="128"/>
      <c r="D80" s="117" t="s">
        <v>6</v>
      </c>
      <c r="E80" s="118" t="s">
        <v>16</v>
      </c>
      <c r="F80" s="117" t="s">
        <v>17</v>
      </c>
      <c r="G80" s="119">
        <v>1973</v>
      </c>
      <c r="H80" s="119">
        <v>1637</v>
      </c>
      <c r="I80" s="120">
        <v>0</v>
      </c>
      <c r="J80" s="120">
        <v>0</v>
      </c>
      <c r="K80" s="120">
        <v>0</v>
      </c>
      <c r="L80" s="120">
        <v>0</v>
      </c>
      <c r="M80" s="120">
        <v>0</v>
      </c>
      <c r="N80" s="120">
        <v>0</v>
      </c>
      <c r="O80" s="120">
        <v>365588</v>
      </c>
      <c r="P80" s="120">
        <v>312197</v>
      </c>
      <c r="Q80" s="120">
        <v>327291</v>
      </c>
      <c r="R80" s="120">
        <v>335025</v>
      </c>
      <c r="S80" s="120">
        <v>22681</v>
      </c>
      <c r="T80" s="121">
        <v>33.503</v>
      </c>
      <c r="U80" s="120">
        <v>70854</v>
      </c>
      <c r="V80" s="120">
        <v>37346</v>
      </c>
      <c r="W80" s="120">
        <v>58637</v>
      </c>
      <c r="X80" s="123">
        <v>55612</v>
      </c>
      <c r="Y80" s="123">
        <v>7441</v>
      </c>
      <c r="Z80" s="124">
        <v>10.01</v>
      </c>
      <c r="AA80" s="123">
        <v>390638</v>
      </c>
      <c r="AB80" s="123">
        <v>30122</v>
      </c>
      <c r="AC80" s="124">
        <v>43.512999999999998</v>
      </c>
      <c r="AD80" s="125">
        <v>478506</v>
      </c>
      <c r="AE80" s="126">
        <v>292</v>
      </c>
    </row>
    <row r="81" spans="1:34" ht="68" x14ac:dyDescent="0.2">
      <c r="A81" s="114" t="s">
        <v>135</v>
      </c>
      <c r="B81" s="129">
        <v>24</v>
      </c>
      <c r="C81" s="130"/>
      <c r="D81" s="117" t="s">
        <v>6</v>
      </c>
      <c r="E81" s="118" t="s">
        <v>137</v>
      </c>
      <c r="F81" s="117" t="s">
        <v>7</v>
      </c>
      <c r="G81" s="119">
        <v>1972</v>
      </c>
      <c r="H81" s="119">
        <v>1520</v>
      </c>
      <c r="I81" s="120">
        <v>138936</v>
      </c>
      <c r="J81" s="120">
        <v>258323</v>
      </c>
      <c r="K81" s="120">
        <v>237418</v>
      </c>
      <c r="L81" s="120">
        <v>211559</v>
      </c>
      <c r="M81" s="120">
        <v>12059</v>
      </c>
      <c r="N81" s="120">
        <v>49</v>
      </c>
      <c r="O81" s="120">
        <v>0</v>
      </c>
      <c r="P81" s="120">
        <v>0</v>
      </c>
      <c r="Q81" s="120">
        <v>0</v>
      </c>
      <c r="R81" s="120">
        <v>0</v>
      </c>
      <c r="S81" s="120">
        <v>0</v>
      </c>
      <c r="T81" s="121">
        <v>0</v>
      </c>
      <c r="U81" s="120">
        <v>154585</v>
      </c>
      <c r="V81" s="120">
        <v>90054</v>
      </c>
      <c r="W81" s="120">
        <v>141058</v>
      </c>
      <c r="X81" s="123">
        <v>128565</v>
      </c>
      <c r="Y81" s="123">
        <v>17202</v>
      </c>
      <c r="Z81" s="124">
        <v>23.141999999999999</v>
      </c>
      <c r="AA81" s="123">
        <v>340124</v>
      </c>
      <c r="AB81" s="123">
        <v>29261</v>
      </c>
      <c r="AC81" s="124">
        <v>71.8</v>
      </c>
      <c r="AD81" s="125">
        <v>543258</v>
      </c>
      <c r="AE81" s="126">
        <v>357</v>
      </c>
    </row>
    <row r="82" spans="1:34" ht="68" x14ac:dyDescent="0.2">
      <c r="A82" s="114" t="s">
        <v>135</v>
      </c>
      <c r="B82" s="129">
        <v>30</v>
      </c>
      <c r="C82" s="130"/>
      <c r="D82" s="117" t="s">
        <v>66</v>
      </c>
      <c r="E82" s="118" t="s">
        <v>11</v>
      </c>
      <c r="F82" s="117" t="s">
        <v>12</v>
      </c>
      <c r="G82" s="119">
        <v>1985</v>
      </c>
      <c r="H82" s="119">
        <v>3133</v>
      </c>
      <c r="I82" s="120">
        <v>0</v>
      </c>
      <c r="J82" s="120">
        <v>0</v>
      </c>
      <c r="K82" s="120">
        <v>0</v>
      </c>
      <c r="L82" s="120">
        <v>0</v>
      </c>
      <c r="M82" s="120">
        <v>0</v>
      </c>
      <c r="N82" s="120">
        <v>0</v>
      </c>
      <c r="O82" s="120">
        <v>0</v>
      </c>
      <c r="P82" s="120">
        <v>0</v>
      </c>
      <c r="Q82" s="120">
        <v>0</v>
      </c>
      <c r="R82" s="120">
        <v>0</v>
      </c>
      <c r="S82" s="120">
        <v>0</v>
      </c>
      <c r="T82" s="121">
        <v>0</v>
      </c>
      <c r="U82" s="120">
        <v>305895</v>
      </c>
      <c r="V82" s="120">
        <v>258710</v>
      </c>
      <c r="W82" s="120">
        <v>344460</v>
      </c>
      <c r="X82" s="123">
        <v>303022</v>
      </c>
      <c r="Y82" s="123">
        <v>40544</v>
      </c>
      <c r="Z82" s="124">
        <v>54.543999999999997</v>
      </c>
      <c r="AA82" s="123">
        <v>303022</v>
      </c>
      <c r="AB82" s="123">
        <v>40544</v>
      </c>
      <c r="AC82" s="124">
        <v>54.543999999999997</v>
      </c>
      <c r="AD82" s="125">
        <v>781796</v>
      </c>
      <c r="AE82" s="126">
        <v>250</v>
      </c>
    </row>
    <row r="83" spans="1:34" ht="68" x14ac:dyDescent="0.2">
      <c r="A83" s="114" t="s">
        <v>135</v>
      </c>
      <c r="B83" s="129">
        <v>31</v>
      </c>
      <c r="C83" s="130"/>
      <c r="D83" s="117" t="s">
        <v>6</v>
      </c>
      <c r="E83" s="118" t="s">
        <v>23</v>
      </c>
      <c r="F83" s="117" t="s">
        <v>24</v>
      </c>
      <c r="G83" s="119">
        <v>1973</v>
      </c>
      <c r="H83" s="119">
        <v>3352</v>
      </c>
      <c r="I83" s="120">
        <v>0</v>
      </c>
      <c r="J83" s="120">
        <v>0</v>
      </c>
      <c r="K83" s="120">
        <v>0</v>
      </c>
      <c r="L83" s="120">
        <v>0</v>
      </c>
      <c r="M83" s="120">
        <v>0</v>
      </c>
      <c r="N83" s="120">
        <v>0</v>
      </c>
      <c r="O83" s="120">
        <v>284000</v>
      </c>
      <c r="P83" s="120">
        <v>196660</v>
      </c>
      <c r="Q83" s="120">
        <v>297040</v>
      </c>
      <c r="R83" s="120">
        <v>259233</v>
      </c>
      <c r="S83" s="120">
        <v>17550</v>
      </c>
      <c r="T83" s="121">
        <v>25.922999999999998</v>
      </c>
      <c r="U83" s="122">
        <v>53011</v>
      </c>
      <c r="V83" s="122">
        <v>23618</v>
      </c>
      <c r="W83" s="122">
        <v>51337</v>
      </c>
      <c r="X83" s="123">
        <v>42655</v>
      </c>
      <c r="Y83" s="123">
        <v>5707</v>
      </c>
      <c r="Z83" s="124">
        <v>7.6779999999999999</v>
      </c>
      <c r="AA83" s="123">
        <v>301889</v>
      </c>
      <c r="AB83" s="123">
        <v>23257</v>
      </c>
      <c r="AC83" s="124">
        <v>33.600999999999999</v>
      </c>
      <c r="AD83" s="125">
        <v>369284</v>
      </c>
      <c r="AE83" s="126">
        <v>110</v>
      </c>
    </row>
    <row r="84" spans="1:34" ht="68" x14ac:dyDescent="0.2">
      <c r="A84" s="114" t="s">
        <v>135</v>
      </c>
      <c r="B84" s="119">
        <v>32</v>
      </c>
      <c r="C84" s="117"/>
      <c r="D84" s="117" t="s">
        <v>18</v>
      </c>
      <c r="E84" s="118" t="s">
        <v>138</v>
      </c>
      <c r="F84" s="117" t="s">
        <v>139</v>
      </c>
      <c r="G84" s="119">
        <v>1980</v>
      </c>
      <c r="H84" s="119">
        <v>2876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266838</v>
      </c>
      <c r="P84" s="120">
        <v>222660</v>
      </c>
      <c r="Q84" s="120">
        <v>249255</v>
      </c>
      <c r="R84" s="120">
        <v>246251</v>
      </c>
      <c r="S84" s="120">
        <v>16671</v>
      </c>
      <c r="T84" s="121">
        <v>24.625</v>
      </c>
      <c r="U84" s="120">
        <v>73344</v>
      </c>
      <c r="V84" s="120">
        <v>29427</v>
      </c>
      <c r="W84" s="120">
        <v>59964</v>
      </c>
      <c r="X84" s="123">
        <v>54245</v>
      </c>
      <c r="Y84" s="123">
        <v>7258</v>
      </c>
      <c r="Z84" s="124">
        <v>9.7639999999999993</v>
      </c>
      <c r="AA84" s="123">
        <v>300496</v>
      </c>
      <c r="AB84" s="123">
        <v>23929</v>
      </c>
      <c r="AC84" s="124">
        <v>34.389000000000003</v>
      </c>
      <c r="AD84" s="125">
        <v>386203</v>
      </c>
      <c r="AE84" s="126">
        <v>134</v>
      </c>
    </row>
    <row r="87" spans="1:34" x14ac:dyDescent="0.15">
      <c r="A87" s="146" t="s">
        <v>143</v>
      </c>
    </row>
    <row r="88" spans="1:34" x14ac:dyDescent="0.15">
      <c r="A88" s="146"/>
    </row>
    <row r="89" spans="1:34" x14ac:dyDescent="0.15">
      <c r="A89" s="146" t="s">
        <v>144</v>
      </c>
    </row>
    <row r="90" spans="1:34" x14ac:dyDescent="0.15">
      <c r="A90" s="146"/>
    </row>
    <row r="91" spans="1:34" ht="80" x14ac:dyDescent="0.15">
      <c r="A91" s="11" t="s">
        <v>33</v>
      </c>
      <c r="B91" s="11" t="s">
        <v>34</v>
      </c>
      <c r="C91" s="12" t="s">
        <v>35</v>
      </c>
      <c r="D91" s="12" t="s">
        <v>36</v>
      </c>
      <c r="E91" s="12" t="s">
        <v>37</v>
      </c>
      <c r="F91" s="13" t="s">
        <v>38</v>
      </c>
      <c r="G91" s="14" t="s">
        <v>39</v>
      </c>
      <c r="H91" s="14" t="s">
        <v>40</v>
      </c>
      <c r="I91" s="14" t="s">
        <v>41</v>
      </c>
      <c r="J91" s="14" t="s">
        <v>42</v>
      </c>
      <c r="K91" s="14" t="s">
        <v>43</v>
      </c>
      <c r="L91" s="14" t="s">
        <v>44</v>
      </c>
      <c r="M91" s="14" t="s">
        <v>45</v>
      </c>
      <c r="N91" s="14" t="s">
        <v>46</v>
      </c>
      <c r="O91" s="14" t="s">
        <v>47</v>
      </c>
      <c r="P91" s="14" t="s">
        <v>48</v>
      </c>
      <c r="Q91" s="14" t="s">
        <v>49</v>
      </c>
      <c r="R91" s="14" t="s">
        <v>50</v>
      </c>
      <c r="S91" s="14" t="s">
        <v>51</v>
      </c>
      <c r="T91" s="14" t="s">
        <v>52</v>
      </c>
      <c r="U91" s="14" t="s">
        <v>53</v>
      </c>
      <c r="V91" s="14" t="s">
        <v>54</v>
      </c>
      <c r="W91" s="14" t="s">
        <v>55</v>
      </c>
      <c r="X91" s="14" t="s">
        <v>56</v>
      </c>
      <c r="Y91" s="14" t="s">
        <v>57</v>
      </c>
      <c r="Z91" s="14" t="s">
        <v>58</v>
      </c>
      <c r="AA91" s="14" t="s">
        <v>59</v>
      </c>
      <c r="AB91" s="15" t="s">
        <v>60</v>
      </c>
      <c r="AC91" s="16" t="s">
        <v>61</v>
      </c>
      <c r="AE91" s="57" t="s">
        <v>153</v>
      </c>
      <c r="AF91" s="57" t="s">
        <v>151</v>
      </c>
      <c r="AG91" s="178" t="s">
        <v>157</v>
      </c>
      <c r="AH91" s="178" t="s">
        <v>156</v>
      </c>
    </row>
    <row r="92" spans="1:34" ht="16" x14ac:dyDescent="0.15">
      <c r="A92" s="2">
        <v>1</v>
      </c>
      <c r="B92" s="17" t="s">
        <v>62</v>
      </c>
      <c r="C92" s="18" t="s">
        <v>25</v>
      </c>
      <c r="D92" s="17" t="s">
        <v>26</v>
      </c>
      <c r="E92" s="3">
        <v>1992</v>
      </c>
      <c r="F92" s="3">
        <v>11500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1160000</v>
      </c>
      <c r="Q92" s="22">
        <v>78532</v>
      </c>
      <c r="R92" s="23">
        <v>116</v>
      </c>
      <c r="S92" s="24">
        <v>0</v>
      </c>
      <c r="T92" s="24">
        <v>0</v>
      </c>
      <c r="U92" s="162">
        <v>0</v>
      </c>
      <c r="V92" s="22">
        <v>831874</v>
      </c>
      <c r="W92" s="22">
        <v>111304.7412</v>
      </c>
      <c r="X92" s="23">
        <v>149.73732000000001</v>
      </c>
      <c r="Y92" s="22">
        <v>1991874</v>
      </c>
      <c r="Z92" s="22">
        <v>189836.74119999999</v>
      </c>
      <c r="AA92" s="22">
        <v>265.73732000000001</v>
      </c>
      <c r="AB92" s="175">
        <v>3306234.92</v>
      </c>
      <c r="AC92" s="171">
        <v>287.49868869565222</v>
      </c>
      <c r="AE92" s="57" t="s">
        <v>154</v>
      </c>
      <c r="AF92" s="57" t="s">
        <v>152</v>
      </c>
      <c r="AG92" t="s">
        <v>158</v>
      </c>
    </row>
    <row r="93" spans="1:34" x14ac:dyDescent="0.15">
      <c r="A93" s="9"/>
      <c r="E93" s="57" t="s">
        <v>123</v>
      </c>
      <c r="F93" s="9">
        <f>F92</f>
        <v>11500</v>
      </c>
      <c r="V93" s="105"/>
      <c r="W93" s="105"/>
      <c r="X93" s="105"/>
      <c r="Y93" s="105"/>
      <c r="Z93" s="105"/>
      <c r="AA93" s="105"/>
      <c r="AB93" s="105"/>
      <c r="AD93" s="57" t="s">
        <v>155</v>
      </c>
      <c r="AE93" s="37">
        <f>((Y92/F92))</f>
        <v>173.20643478260868</v>
      </c>
      <c r="AF93" s="37">
        <f>((Y92/F92)-85)</f>
        <v>88.206434782608682</v>
      </c>
      <c r="AH93" s="9"/>
    </row>
    <row r="94" spans="1:34" ht="16" x14ac:dyDescent="0.15">
      <c r="A94" s="1">
        <v>13</v>
      </c>
      <c r="B94" s="139"/>
      <c r="C94" s="143" t="s">
        <v>78</v>
      </c>
      <c r="D94" s="139" t="s">
        <v>79</v>
      </c>
      <c r="E94" s="138">
        <v>1999</v>
      </c>
      <c r="F94" s="138">
        <v>3059</v>
      </c>
      <c r="G94" s="104">
        <v>175992</v>
      </c>
      <c r="H94" s="104">
        <v>294180</v>
      </c>
      <c r="I94" s="104">
        <v>267431</v>
      </c>
      <c r="J94" s="141">
        <f>(G94+H94+I94)/3</f>
        <v>245867.66666666666</v>
      </c>
      <c r="K94" s="141">
        <f>J94*0.057</f>
        <v>14014.457</v>
      </c>
      <c r="L94" s="141">
        <f>J94*230/1000000</f>
        <v>56.549563333333332</v>
      </c>
      <c r="M94" s="141">
        <v>0</v>
      </c>
      <c r="N94" s="141">
        <v>0</v>
      </c>
      <c r="O94" s="141">
        <v>0</v>
      </c>
      <c r="P94" s="141">
        <f>(M94+N94+O94)/3</f>
        <v>0</v>
      </c>
      <c r="Q94" s="141">
        <f>P94*0.0677</f>
        <v>0</v>
      </c>
      <c r="R94" s="142">
        <f>P94*(100/1000000)</f>
        <v>0</v>
      </c>
      <c r="S94" s="81">
        <v>209912</v>
      </c>
      <c r="T94" s="81">
        <v>138661</v>
      </c>
      <c r="U94" s="163">
        <v>181627</v>
      </c>
      <c r="V94" s="141">
        <f>(S94+T94+U94)/3</f>
        <v>176733.33333333334</v>
      </c>
      <c r="W94" s="141">
        <f>V94*0.1338</f>
        <v>23646.920000000002</v>
      </c>
      <c r="X94" s="142">
        <f>V94*(180/1000000)</f>
        <v>31.812000000000005</v>
      </c>
      <c r="Y94" s="141">
        <f t="shared" ref="Y94:AA98" si="15">J94+P94+V94</f>
        <v>422601</v>
      </c>
      <c r="Z94" s="141">
        <f t="shared" si="15"/>
        <v>37661.377</v>
      </c>
      <c r="AA94" s="142">
        <f t="shared" si="15"/>
        <v>88.361563333333336</v>
      </c>
      <c r="AB94" s="175">
        <f>J94+P94+2.58*V94</f>
        <v>701839.66666666674</v>
      </c>
      <c r="AC94" s="172">
        <f>AB94/F94</f>
        <v>229.43434673640627</v>
      </c>
      <c r="AE94" s="9"/>
      <c r="AF94" s="9"/>
      <c r="AH94" s="9"/>
    </row>
    <row r="95" spans="1:34" ht="14" x14ac:dyDescent="0.15">
      <c r="A95" s="103">
        <v>26</v>
      </c>
      <c r="B95" s="139" t="s">
        <v>66</v>
      </c>
      <c r="C95" s="143" t="s">
        <v>84</v>
      </c>
      <c r="D95" s="139" t="s">
        <v>5</v>
      </c>
      <c r="E95" s="138">
        <v>1995</v>
      </c>
      <c r="F95" s="138">
        <v>2008</v>
      </c>
      <c r="G95" s="141">
        <v>326395</v>
      </c>
      <c r="H95" s="141">
        <v>312551</v>
      </c>
      <c r="I95" s="141">
        <v>248044</v>
      </c>
      <c r="J95" s="141">
        <f>(G95+H95+I95)/3</f>
        <v>295663.33333333331</v>
      </c>
      <c r="K95" s="141">
        <f>J95*0.057</f>
        <v>16852.810000000001</v>
      </c>
      <c r="L95" s="141">
        <f>J95*230/1000000</f>
        <v>68.002566666666652</v>
      </c>
      <c r="M95" s="141">
        <v>0</v>
      </c>
      <c r="N95" s="141">
        <v>0</v>
      </c>
      <c r="O95" s="141">
        <v>0</v>
      </c>
      <c r="P95" s="141">
        <f>(M95+N95+O95)/3</f>
        <v>0</v>
      </c>
      <c r="Q95" s="141">
        <f>P95*0.0677</f>
        <v>0</v>
      </c>
      <c r="R95" s="142">
        <f>P95*(100/1000000)</f>
        <v>0</v>
      </c>
      <c r="S95" s="141">
        <v>44832</v>
      </c>
      <c r="T95" s="141">
        <v>18611</v>
      </c>
      <c r="U95" s="164">
        <v>31486</v>
      </c>
      <c r="V95" s="141">
        <f>(S95+T95+U95)/3</f>
        <v>31643</v>
      </c>
      <c r="W95" s="141">
        <f>V95*0.1338</f>
        <v>4233.8334000000004</v>
      </c>
      <c r="X95" s="142">
        <f>V95*(180/1000000)</f>
        <v>5.6957400000000007</v>
      </c>
      <c r="Y95" s="141">
        <f t="shared" si="15"/>
        <v>327306.33333333331</v>
      </c>
      <c r="Z95" s="141">
        <f t="shared" si="15"/>
        <v>21086.643400000001</v>
      </c>
      <c r="AA95" s="142">
        <f t="shared" si="15"/>
        <v>73.698306666666653</v>
      </c>
      <c r="AB95" s="175">
        <f>J95+P95+2.58*V95</f>
        <v>377302.27333333332</v>
      </c>
      <c r="AC95" s="172">
        <f>AB95/F95</f>
        <v>187.8995385126162</v>
      </c>
      <c r="AE95" s="9"/>
      <c r="AF95" s="9"/>
      <c r="AH95" s="9"/>
    </row>
    <row r="96" spans="1:34" ht="14" x14ac:dyDescent="0.15">
      <c r="A96" s="2">
        <v>5</v>
      </c>
      <c r="B96" s="139" t="s">
        <v>71</v>
      </c>
      <c r="C96" s="143" t="s">
        <v>72</v>
      </c>
      <c r="D96" s="139" t="s">
        <v>73</v>
      </c>
      <c r="E96" s="138">
        <v>2001</v>
      </c>
      <c r="F96" s="138">
        <v>6288</v>
      </c>
      <c r="G96" s="141">
        <v>520665</v>
      </c>
      <c r="H96" s="141">
        <v>536746</v>
      </c>
      <c r="I96" s="141">
        <v>340883</v>
      </c>
      <c r="J96" s="141">
        <f>(G96+H96+I96)/3</f>
        <v>466098</v>
      </c>
      <c r="K96" s="141">
        <f>J96*0.057</f>
        <v>26567.585999999999</v>
      </c>
      <c r="L96" s="141">
        <f>J96*230/1000000</f>
        <v>107.20254</v>
      </c>
      <c r="M96" s="141">
        <v>0</v>
      </c>
      <c r="N96" s="141">
        <v>0</v>
      </c>
      <c r="O96" s="141">
        <v>0</v>
      </c>
      <c r="P96" s="141">
        <f>(M96+N96+O96)/3</f>
        <v>0</v>
      </c>
      <c r="Q96" s="141">
        <f>P96*0.0677</f>
        <v>0</v>
      </c>
      <c r="R96" s="142">
        <f>P96*(100/1000000)</f>
        <v>0</v>
      </c>
      <c r="S96" s="141">
        <v>232151</v>
      </c>
      <c r="T96" s="141">
        <v>110188</v>
      </c>
      <c r="U96" s="164">
        <v>149585</v>
      </c>
      <c r="V96" s="141">
        <f>(S96+T96+U96)/3</f>
        <v>163974.66666666666</v>
      </c>
      <c r="W96" s="141">
        <f>V96*0.1338</f>
        <v>21939.810399999998</v>
      </c>
      <c r="X96" s="142">
        <f>V96*(180/1000000)</f>
        <v>29.515440000000002</v>
      </c>
      <c r="Y96" s="141">
        <f t="shared" si="15"/>
        <v>630072.66666666663</v>
      </c>
      <c r="Z96" s="141">
        <f t="shared" si="15"/>
        <v>48507.396399999998</v>
      </c>
      <c r="AA96" s="142">
        <f t="shared" si="15"/>
        <v>136.71798000000001</v>
      </c>
      <c r="AB96" s="175">
        <f>J96+P96+2.58*V96</f>
        <v>889152.64</v>
      </c>
      <c r="AC96" s="172">
        <f>AB96/F96</f>
        <v>141.40468193384226</v>
      </c>
      <c r="AE96" s="9"/>
      <c r="AF96" s="9"/>
      <c r="AH96" s="9"/>
    </row>
    <row r="97" spans="1:36" ht="14" x14ac:dyDescent="0.15">
      <c r="A97" s="1">
        <v>17</v>
      </c>
      <c r="B97" s="139" t="s">
        <v>6</v>
      </c>
      <c r="C97" s="143" t="s">
        <v>16</v>
      </c>
      <c r="D97" s="139" t="s">
        <v>17</v>
      </c>
      <c r="E97" s="138">
        <v>1973</v>
      </c>
      <c r="F97" s="138">
        <v>1637</v>
      </c>
      <c r="G97" s="141">
        <v>0</v>
      </c>
      <c r="H97" s="141">
        <v>0</v>
      </c>
      <c r="I97" s="141">
        <v>0</v>
      </c>
      <c r="J97" s="141">
        <f>(G97+H97+I97)/3</f>
        <v>0</v>
      </c>
      <c r="K97" s="141">
        <f>J97*0.057</f>
        <v>0</v>
      </c>
      <c r="L97" s="141">
        <f>J97*230/1000000</f>
        <v>0</v>
      </c>
      <c r="M97" s="141">
        <v>365587.61746821448</v>
      </c>
      <c r="N97" s="141">
        <v>312197.34660033166</v>
      </c>
      <c r="O97" s="141">
        <v>327291.40961857379</v>
      </c>
      <c r="P97" s="141">
        <f>(M97+N97+O97)/3</f>
        <v>335025.45789570664</v>
      </c>
      <c r="Q97" s="141">
        <f>P97*0.0677</f>
        <v>22681.223499539337</v>
      </c>
      <c r="R97" s="142">
        <f>P97*(100/1000000)</f>
        <v>33.502545789570668</v>
      </c>
      <c r="S97" s="141">
        <v>70854.3189607518</v>
      </c>
      <c r="T97" s="141">
        <v>37346.042012161415</v>
      </c>
      <c r="U97" s="164">
        <v>58636.996130458814</v>
      </c>
      <c r="V97" s="141">
        <f>(S97+T97+U97)/3</f>
        <v>55612.452367790676</v>
      </c>
      <c r="W97" s="141">
        <f>V97*0.1338</f>
        <v>7440.9461268103923</v>
      </c>
      <c r="X97" s="142">
        <f>V97*(180/1000000)</f>
        <v>10.010241426202322</v>
      </c>
      <c r="Y97" s="141">
        <f t="shared" si="15"/>
        <v>390637.91026349732</v>
      </c>
      <c r="Z97" s="141">
        <f t="shared" si="15"/>
        <v>30122.169626349729</v>
      </c>
      <c r="AA97" s="142">
        <f t="shared" si="15"/>
        <v>43.512787215772988</v>
      </c>
      <c r="AB97" s="175">
        <f>J97+P97+2.58*V97</f>
        <v>478505.58500460658</v>
      </c>
      <c r="AC97" s="172">
        <f>AB97/F97</f>
        <v>292.30640501197712</v>
      </c>
      <c r="AE97" s="9"/>
      <c r="AF97" s="9"/>
      <c r="AH97" s="9"/>
    </row>
    <row r="98" spans="1:36" ht="14" x14ac:dyDescent="0.15">
      <c r="A98" s="67">
        <v>38</v>
      </c>
      <c r="B98" s="65" t="s">
        <v>8</v>
      </c>
      <c r="C98" s="97" t="s">
        <v>124</v>
      </c>
      <c r="D98" s="65" t="s">
        <v>125</v>
      </c>
      <c r="E98" s="67">
        <v>1979</v>
      </c>
      <c r="F98" s="67">
        <v>1646</v>
      </c>
      <c r="G98" s="98">
        <v>0</v>
      </c>
      <c r="H98" s="98">
        <v>0</v>
      </c>
      <c r="I98" s="98">
        <v>0</v>
      </c>
      <c r="J98" s="98">
        <f>(G98+H98+I98)/3</f>
        <v>0</v>
      </c>
      <c r="K98" s="98">
        <f>J98*0.057</f>
        <v>0</v>
      </c>
      <c r="L98" s="98">
        <f>J98*230/1000000</f>
        <v>0</v>
      </c>
      <c r="M98" s="98">
        <v>153524.38565217186</v>
      </c>
      <c r="N98" s="98">
        <v>146264.76520500131</v>
      </c>
      <c r="O98" s="98">
        <v>144266.63375354843</v>
      </c>
      <c r="P98" s="98">
        <f>(M98+N98+O98)/3</f>
        <v>148018.59487024051</v>
      </c>
      <c r="Q98" s="98">
        <f>P98*0.0677</f>
        <v>10020.858872715282</v>
      </c>
      <c r="R98" s="99">
        <f>P98*(100/1000000)</f>
        <v>14.801859487024052</v>
      </c>
      <c r="S98" s="98">
        <v>94150</v>
      </c>
      <c r="T98" s="98">
        <v>49547</v>
      </c>
      <c r="U98" s="165">
        <v>88135</v>
      </c>
      <c r="V98" s="98">
        <f>(S98+T98+U98)/3</f>
        <v>77277.333333333328</v>
      </c>
      <c r="W98" s="98">
        <f>V98*0.1338</f>
        <v>10339.707199999999</v>
      </c>
      <c r="X98" s="99">
        <f>V98*(180/1000000)</f>
        <v>13.90992</v>
      </c>
      <c r="Y98" s="98">
        <f t="shared" si="15"/>
        <v>225295.92820357386</v>
      </c>
      <c r="Z98" s="98">
        <f t="shared" si="15"/>
        <v>20360.566072715279</v>
      </c>
      <c r="AA98" s="99">
        <f t="shared" si="15"/>
        <v>28.711779487024053</v>
      </c>
      <c r="AB98" s="175">
        <f>J98+P98+2.58*V98</f>
        <v>347394.1148702405</v>
      </c>
      <c r="AC98" s="173">
        <f>AB98/F98</f>
        <v>211.05353272797115</v>
      </c>
      <c r="AE98" s="9"/>
      <c r="AF98" s="9"/>
      <c r="AH98" s="9"/>
    </row>
    <row r="99" spans="1:36" x14ac:dyDescent="0.15">
      <c r="A99" s="138"/>
      <c r="B99" s="139"/>
      <c r="C99" s="143"/>
      <c r="D99" s="139"/>
      <c r="E99" s="57" t="s">
        <v>123</v>
      </c>
      <c r="F99" s="138">
        <f>F94+F95+F96+F97</f>
        <v>12992</v>
      </c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2"/>
      <c r="S99" s="141"/>
      <c r="T99" s="141"/>
      <c r="U99" s="164"/>
      <c r="V99" s="141"/>
      <c r="W99" s="141"/>
      <c r="X99" s="142"/>
      <c r="Y99" s="141"/>
      <c r="Z99" s="141"/>
      <c r="AA99" s="142"/>
      <c r="AB99" s="175"/>
      <c r="AC99" s="172"/>
      <c r="AD99" s="57" t="s">
        <v>155</v>
      </c>
      <c r="AE99" s="37">
        <f>(SUM(Y94:Y98))/F99</f>
        <v>153.62637303471917</v>
      </c>
      <c r="AF99" s="37">
        <f>AE99-85</f>
        <v>68.626373034719165</v>
      </c>
      <c r="AH99" s="9"/>
    </row>
    <row r="100" spans="1:36" ht="14" x14ac:dyDescent="0.15">
      <c r="A100" s="1">
        <v>14</v>
      </c>
      <c r="B100" s="139" t="s">
        <v>71</v>
      </c>
      <c r="C100" s="143" t="s">
        <v>82</v>
      </c>
      <c r="D100" s="139" t="s">
        <v>83</v>
      </c>
      <c r="E100" s="138">
        <v>1987</v>
      </c>
      <c r="F100" s="138">
        <v>4060</v>
      </c>
      <c r="G100" s="141">
        <v>0</v>
      </c>
      <c r="H100" s="141">
        <v>0</v>
      </c>
      <c r="I100" s="141">
        <v>0</v>
      </c>
      <c r="J100" s="141">
        <f t="shared" ref="J100:J110" si="16">(G100+H100+I100)/3</f>
        <v>0</v>
      </c>
      <c r="K100" s="141">
        <f t="shared" ref="K100:K110" si="17">J100*0.057</f>
        <v>0</v>
      </c>
      <c r="L100" s="141">
        <f t="shared" ref="L100:L110" si="18">J100*230/1000000</f>
        <v>0</v>
      </c>
      <c r="M100" s="141">
        <v>0</v>
      </c>
      <c r="N100" s="141">
        <v>0</v>
      </c>
      <c r="O100" s="141">
        <v>0</v>
      </c>
      <c r="P100" s="141">
        <f t="shared" ref="P100:P110" si="19">(M100+N100+O100)/3</f>
        <v>0</v>
      </c>
      <c r="Q100" s="141">
        <f t="shared" ref="Q100:Q110" si="20">P100*0.0677</f>
        <v>0</v>
      </c>
      <c r="R100" s="142">
        <f t="shared" ref="R100:R110" si="21">P100*(100/1000000)</f>
        <v>0</v>
      </c>
      <c r="S100" s="141">
        <v>538415.3028229255</v>
      </c>
      <c r="T100" s="141">
        <v>301850.10136869119</v>
      </c>
      <c r="U100" s="164">
        <v>401766.07570573135</v>
      </c>
      <c r="V100" s="141">
        <f t="shared" ref="V100:V110" si="22">(S100+T100+U100)/3</f>
        <v>414010.49329911597</v>
      </c>
      <c r="W100" s="141">
        <f t="shared" ref="W100:W110" si="23">V100*0.1338</f>
        <v>55394.604003421715</v>
      </c>
      <c r="X100" s="142">
        <f t="shared" ref="X100:X110" si="24">V100*(180/1000000)</f>
        <v>74.521888793840887</v>
      </c>
      <c r="Y100" s="141">
        <f t="shared" ref="Y100:Y110" si="25">J100+P100+V100</f>
        <v>414010.49329911597</v>
      </c>
      <c r="Z100" s="141">
        <f t="shared" ref="Z100:Z110" si="26">K100+Q100+W100</f>
        <v>55394.604003421715</v>
      </c>
      <c r="AA100" s="142">
        <f t="shared" ref="AA100:AA110" si="27">L100+R100+X100</f>
        <v>74.521888793840887</v>
      </c>
      <c r="AB100" s="175">
        <f t="shared" ref="AB100:AB110" si="28">J100+P100+2.58*V100</f>
        <v>1068147.0727117192</v>
      </c>
      <c r="AC100" s="172">
        <f t="shared" ref="AC100:AC110" si="29">AB100/F100</f>
        <v>263.09041199796042</v>
      </c>
      <c r="AE100" s="9"/>
      <c r="AF100" s="9"/>
      <c r="AH100" s="9"/>
    </row>
    <row r="101" spans="1:36" ht="14" x14ac:dyDescent="0.15">
      <c r="A101" s="2">
        <v>9</v>
      </c>
      <c r="B101" s="139" t="s">
        <v>8</v>
      </c>
      <c r="C101" s="143" t="s">
        <v>9</v>
      </c>
      <c r="D101" s="139" t="s">
        <v>10</v>
      </c>
      <c r="E101" s="138">
        <v>1978</v>
      </c>
      <c r="F101" s="138">
        <v>2958</v>
      </c>
      <c r="G101" s="141">
        <v>0</v>
      </c>
      <c r="H101" s="141">
        <v>0</v>
      </c>
      <c r="I101" s="141">
        <v>0</v>
      </c>
      <c r="J101" s="141">
        <f t="shared" si="16"/>
        <v>0</v>
      </c>
      <c r="K101" s="141">
        <f t="shared" si="17"/>
        <v>0</v>
      </c>
      <c r="L101" s="141">
        <f t="shared" si="18"/>
        <v>0</v>
      </c>
      <c r="M101" s="141">
        <v>520909.70846306253</v>
      </c>
      <c r="N101" s="141">
        <v>471551.08972544578</v>
      </c>
      <c r="O101" s="141">
        <v>497437.92244551372</v>
      </c>
      <c r="P101" s="141">
        <f t="shared" si="19"/>
        <v>496632.90687800734</v>
      </c>
      <c r="Q101" s="141">
        <f t="shared" si="20"/>
        <v>33622.047795641098</v>
      </c>
      <c r="R101" s="142">
        <f t="shared" si="21"/>
        <v>49.663290687800739</v>
      </c>
      <c r="S101" s="141">
        <v>87147</v>
      </c>
      <c r="T101" s="141">
        <v>41830</v>
      </c>
      <c r="U101" s="164">
        <v>78395</v>
      </c>
      <c r="V101" s="141">
        <f t="shared" si="22"/>
        <v>69124</v>
      </c>
      <c r="W101" s="141">
        <f t="shared" si="23"/>
        <v>9248.7911999999997</v>
      </c>
      <c r="X101" s="142">
        <f t="shared" si="24"/>
        <v>12.44232</v>
      </c>
      <c r="Y101" s="141">
        <f t="shared" si="25"/>
        <v>565756.90687800734</v>
      </c>
      <c r="Z101" s="141">
        <f t="shared" si="26"/>
        <v>42870.838995641097</v>
      </c>
      <c r="AA101" s="142">
        <f t="shared" si="27"/>
        <v>62.105610687800741</v>
      </c>
      <c r="AB101" s="175">
        <f t="shared" si="28"/>
        <v>674972.82687800738</v>
      </c>
      <c r="AC101" s="172">
        <f t="shared" si="29"/>
        <v>228.18553985057721</v>
      </c>
      <c r="AE101" s="9"/>
      <c r="AF101" s="9"/>
      <c r="AH101" s="9"/>
    </row>
    <row r="102" spans="1:36" ht="14" x14ac:dyDescent="0.15">
      <c r="A102" s="103">
        <v>25</v>
      </c>
      <c r="B102" s="139" t="s">
        <v>18</v>
      </c>
      <c r="C102" s="143" t="s">
        <v>19</v>
      </c>
      <c r="D102" s="139" t="s">
        <v>20</v>
      </c>
      <c r="E102" s="138">
        <v>1975</v>
      </c>
      <c r="F102" s="138">
        <v>2508</v>
      </c>
      <c r="G102" s="141">
        <v>0</v>
      </c>
      <c r="H102" s="141">
        <v>0</v>
      </c>
      <c r="I102" s="141">
        <v>0</v>
      </c>
      <c r="J102" s="141">
        <f t="shared" si="16"/>
        <v>0</v>
      </c>
      <c r="K102" s="141">
        <f t="shared" si="17"/>
        <v>0</v>
      </c>
      <c r="L102" s="141">
        <f t="shared" si="18"/>
        <v>0</v>
      </c>
      <c r="M102" s="141">
        <v>290485.30153795</v>
      </c>
      <c r="N102" s="141">
        <v>204640.39153121255</v>
      </c>
      <c r="O102" s="141">
        <v>275354.05224888364</v>
      </c>
      <c r="P102" s="141">
        <f t="shared" si="19"/>
        <v>256826.58177268205</v>
      </c>
      <c r="Q102" s="141">
        <f t="shared" si="20"/>
        <v>17387.159586010574</v>
      </c>
      <c r="R102" s="142">
        <f t="shared" si="21"/>
        <v>25.682658177268205</v>
      </c>
      <c r="S102" s="141">
        <v>96869</v>
      </c>
      <c r="T102" s="141">
        <v>50412</v>
      </c>
      <c r="U102" s="164">
        <v>90734</v>
      </c>
      <c r="V102" s="141">
        <f t="shared" si="22"/>
        <v>79338.333333333328</v>
      </c>
      <c r="W102" s="141">
        <f t="shared" si="23"/>
        <v>10615.468999999999</v>
      </c>
      <c r="X102" s="142">
        <f t="shared" si="24"/>
        <v>14.280900000000001</v>
      </c>
      <c r="Y102" s="141">
        <f t="shared" si="25"/>
        <v>336164.9151060154</v>
      </c>
      <c r="Z102" s="141">
        <f t="shared" si="26"/>
        <v>28002.628586010571</v>
      </c>
      <c r="AA102" s="142">
        <f t="shared" si="27"/>
        <v>39.963558177268204</v>
      </c>
      <c r="AB102" s="175">
        <f t="shared" si="28"/>
        <v>461519.48177268205</v>
      </c>
      <c r="AC102" s="172">
        <f t="shared" si="29"/>
        <v>184.01893212626877</v>
      </c>
      <c r="AE102" s="9"/>
      <c r="AF102" s="9"/>
      <c r="AH102" s="9"/>
    </row>
    <row r="103" spans="1:36" ht="16" x14ac:dyDescent="0.2">
      <c r="A103" s="1">
        <v>15</v>
      </c>
      <c r="B103" s="139" t="s">
        <v>62</v>
      </c>
      <c r="C103" s="145" t="s">
        <v>145</v>
      </c>
      <c r="D103" s="139" t="s">
        <v>15</v>
      </c>
      <c r="E103" s="138">
        <v>1982</v>
      </c>
      <c r="F103" s="138">
        <f>1785.6+1190.4</f>
        <v>2976</v>
      </c>
      <c r="G103" s="141">
        <v>0</v>
      </c>
      <c r="H103" s="141">
        <v>0</v>
      </c>
      <c r="I103" s="141">
        <v>0</v>
      </c>
      <c r="J103" s="141">
        <f t="shared" si="16"/>
        <v>0</v>
      </c>
      <c r="K103" s="141">
        <f t="shared" si="17"/>
        <v>0</v>
      </c>
      <c r="L103" s="141">
        <f t="shared" si="18"/>
        <v>0</v>
      </c>
      <c r="M103" s="141">
        <v>364031.94103194104</v>
      </c>
      <c r="N103" s="141">
        <v>345685.50368550367</v>
      </c>
      <c r="O103" s="141">
        <v>337873.78378378373</v>
      </c>
      <c r="P103" s="141">
        <f t="shared" si="19"/>
        <v>349197.07616707613</v>
      </c>
      <c r="Q103" s="141">
        <f t="shared" si="20"/>
        <v>23640.642056511053</v>
      </c>
      <c r="R103" s="142">
        <f t="shared" si="21"/>
        <v>34.919707616707612</v>
      </c>
      <c r="S103" s="141">
        <v>64125</v>
      </c>
      <c r="T103" s="141">
        <v>34879</v>
      </c>
      <c r="U103" s="164">
        <v>63063</v>
      </c>
      <c r="V103" s="141">
        <f t="shared" si="22"/>
        <v>54022.333333333336</v>
      </c>
      <c r="W103" s="141">
        <f t="shared" si="23"/>
        <v>7228.1882000000005</v>
      </c>
      <c r="X103" s="142">
        <f t="shared" si="24"/>
        <v>9.7240200000000012</v>
      </c>
      <c r="Y103" s="141">
        <f t="shared" si="25"/>
        <v>403219.40950040944</v>
      </c>
      <c r="Z103" s="141">
        <f t="shared" si="26"/>
        <v>30868.830256511053</v>
      </c>
      <c r="AA103" s="142">
        <f t="shared" si="27"/>
        <v>44.643727616707615</v>
      </c>
      <c r="AB103" s="175">
        <f t="shared" si="28"/>
        <v>488574.69616707612</v>
      </c>
      <c r="AC103" s="172">
        <f t="shared" si="29"/>
        <v>164.17160489485084</v>
      </c>
      <c r="AE103" s="9"/>
      <c r="AF103" s="9"/>
      <c r="AH103" s="9"/>
    </row>
    <row r="104" spans="1:36" ht="15" x14ac:dyDescent="0.2">
      <c r="A104" s="2">
        <v>4</v>
      </c>
      <c r="B104" s="139" t="s">
        <v>66</v>
      </c>
      <c r="C104" s="143" t="s">
        <v>69</v>
      </c>
      <c r="D104" s="139" t="s">
        <v>70</v>
      </c>
      <c r="E104" s="138">
        <v>2007</v>
      </c>
      <c r="F104" s="138">
        <v>3529</v>
      </c>
      <c r="G104" s="141">
        <v>444067</v>
      </c>
      <c r="H104" s="141">
        <v>555926</v>
      </c>
      <c r="I104" s="141">
        <v>631465</v>
      </c>
      <c r="J104" s="141">
        <f t="shared" si="16"/>
        <v>543819.33333333337</v>
      </c>
      <c r="K104" s="141">
        <f t="shared" si="17"/>
        <v>30997.702000000005</v>
      </c>
      <c r="L104" s="141">
        <f t="shared" si="18"/>
        <v>125.07844666666666</v>
      </c>
      <c r="M104" s="141">
        <v>0</v>
      </c>
      <c r="N104" s="141">
        <v>0</v>
      </c>
      <c r="O104" s="141">
        <v>0</v>
      </c>
      <c r="P104" s="141">
        <f t="shared" si="19"/>
        <v>0</v>
      </c>
      <c r="Q104" s="141">
        <f t="shared" si="20"/>
        <v>0</v>
      </c>
      <c r="R104" s="142">
        <f t="shared" si="21"/>
        <v>0</v>
      </c>
      <c r="S104" s="144">
        <v>122405</v>
      </c>
      <c r="T104" s="144">
        <v>58765</v>
      </c>
      <c r="U104" s="166">
        <v>104946</v>
      </c>
      <c r="V104" s="141">
        <f t="shared" si="22"/>
        <v>95372</v>
      </c>
      <c r="W104" s="141">
        <f t="shared" si="23"/>
        <v>12760.7736</v>
      </c>
      <c r="X104" s="142">
        <f t="shared" si="24"/>
        <v>17.16696</v>
      </c>
      <c r="Y104" s="141">
        <f t="shared" si="25"/>
        <v>639191.33333333337</v>
      </c>
      <c r="Z104" s="141">
        <f t="shared" si="26"/>
        <v>43758.475600000005</v>
      </c>
      <c r="AA104" s="142">
        <f t="shared" si="27"/>
        <v>142.24540666666667</v>
      </c>
      <c r="AB104" s="175">
        <f t="shared" si="28"/>
        <v>789879.09333333338</v>
      </c>
      <c r="AC104" s="172">
        <f t="shared" si="29"/>
        <v>223.82518938320584</v>
      </c>
      <c r="AE104" s="9"/>
      <c r="AF104" s="9"/>
      <c r="AH104" s="9"/>
    </row>
    <row r="105" spans="1:36" ht="15" x14ac:dyDescent="0.2">
      <c r="A105" s="2">
        <v>2</v>
      </c>
      <c r="B105" s="139" t="s">
        <v>66</v>
      </c>
      <c r="C105" s="145" t="s">
        <v>146</v>
      </c>
      <c r="D105" s="138" t="s">
        <v>68</v>
      </c>
      <c r="E105" s="138">
        <v>2015</v>
      </c>
      <c r="F105" s="138">
        <v>2017</v>
      </c>
      <c r="G105" s="141">
        <v>221509</v>
      </c>
      <c r="H105" s="141">
        <v>369882</v>
      </c>
      <c r="I105" s="141">
        <v>420096</v>
      </c>
      <c r="J105" s="141">
        <f t="shared" si="16"/>
        <v>337162.33333333331</v>
      </c>
      <c r="K105" s="141">
        <f t="shared" si="17"/>
        <v>19218.253000000001</v>
      </c>
      <c r="L105" s="141">
        <f t="shared" si="18"/>
        <v>77.547336666666652</v>
      </c>
      <c r="M105" s="141">
        <v>0</v>
      </c>
      <c r="N105" s="141">
        <v>0</v>
      </c>
      <c r="O105" s="141">
        <v>0</v>
      </c>
      <c r="P105" s="141">
        <f t="shared" si="19"/>
        <v>0</v>
      </c>
      <c r="Q105" s="141">
        <f t="shared" si="20"/>
        <v>0</v>
      </c>
      <c r="R105" s="142">
        <f t="shared" si="21"/>
        <v>0</v>
      </c>
      <c r="S105" s="144">
        <v>413298</v>
      </c>
      <c r="T105" s="144">
        <v>301834</v>
      </c>
      <c r="U105" s="166">
        <v>450162</v>
      </c>
      <c r="V105" s="141">
        <f t="shared" si="22"/>
        <v>388431.33333333331</v>
      </c>
      <c r="W105" s="141">
        <f t="shared" si="23"/>
        <v>51972.112399999998</v>
      </c>
      <c r="X105" s="142">
        <f t="shared" si="24"/>
        <v>69.917640000000006</v>
      </c>
      <c r="Y105" s="141">
        <f t="shared" si="25"/>
        <v>725593.66666666663</v>
      </c>
      <c r="Z105" s="141">
        <f t="shared" si="26"/>
        <v>71190.365399999995</v>
      </c>
      <c r="AA105" s="142">
        <f t="shared" si="27"/>
        <v>147.46497666666664</v>
      </c>
      <c r="AB105" s="175">
        <f t="shared" si="28"/>
        <v>1339315.1733333333</v>
      </c>
      <c r="AC105" s="172">
        <f t="shared" si="29"/>
        <v>664.01347215336307</v>
      </c>
      <c r="AE105" s="9"/>
      <c r="AF105" s="9"/>
      <c r="AH105" s="9"/>
    </row>
    <row r="106" spans="1:36" ht="14" x14ac:dyDescent="0.15">
      <c r="A106" s="1">
        <v>20</v>
      </c>
      <c r="B106" s="139" t="s">
        <v>63</v>
      </c>
      <c r="C106" s="143" t="s">
        <v>21</v>
      </c>
      <c r="D106" s="139" t="s">
        <v>22</v>
      </c>
      <c r="E106" s="138">
        <v>1980</v>
      </c>
      <c r="F106" s="138">
        <v>2439</v>
      </c>
      <c r="G106" s="141">
        <v>0</v>
      </c>
      <c r="H106" s="141">
        <v>0</v>
      </c>
      <c r="I106" s="141">
        <v>0</v>
      </c>
      <c r="J106" s="141">
        <f t="shared" si="16"/>
        <v>0</v>
      </c>
      <c r="K106" s="141">
        <f t="shared" si="17"/>
        <v>0</v>
      </c>
      <c r="L106" s="141">
        <f t="shared" si="18"/>
        <v>0</v>
      </c>
      <c r="M106" s="141">
        <v>273000.00000000041</v>
      </c>
      <c r="N106" s="141">
        <v>254000</v>
      </c>
      <c r="O106" s="141">
        <v>324370.00000000017</v>
      </c>
      <c r="P106" s="141">
        <f t="shared" si="19"/>
        <v>283790.00000000023</v>
      </c>
      <c r="Q106" s="141">
        <f t="shared" si="20"/>
        <v>19212.583000000013</v>
      </c>
      <c r="R106" s="142">
        <f t="shared" si="21"/>
        <v>28.379000000000026</v>
      </c>
      <c r="S106" s="141">
        <v>74407</v>
      </c>
      <c r="T106" s="141">
        <v>37749</v>
      </c>
      <c r="U106" s="164">
        <v>79601</v>
      </c>
      <c r="V106" s="141">
        <f t="shared" si="22"/>
        <v>63919</v>
      </c>
      <c r="W106" s="141">
        <f t="shared" si="23"/>
        <v>8552.3621999999996</v>
      </c>
      <c r="X106" s="142">
        <f t="shared" si="24"/>
        <v>11.505420000000001</v>
      </c>
      <c r="Y106" s="141">
        <f t="shared" si="25"/>
        <v>347709.00000000023</v>
      </c>
      <c r="Z106" s="141">
        <f t="shared" si="26"/>
        <v>27764.945200000013</v>
      </c>
      <c r="AA106" s="142">
        <f t="shared" si="27"/>
        <v>39.884420000000027</v>
      </c>
      <c r="AB106" s="175">
        <f t="shared" si="28"/>
        <v>448701.02000000025</v>
      </c>
      <c r="AC106" s="172">
        <f t="shared" si="29"/>
        <v>183.96925789257904</v>
      </c>
      <c r="AE106" s="9"/>
      <c r="AF106" s="9"/>
      <c r="AH106" s="9"/>
    </row>
    <row r="107" spans="1:36" ht="14" x14ac:dyDescent="0.15">
      <c r="A107" s="138">
        <v>35</v>
      </c>
      <c r="B107" s="139" t="s">
        <v>8</v>
      </c>
      <c r="C107" s="140" t="s">
        <v>119</v>
      </c>
      <c r="D107" s="139" t="s">
        <v>120</v>
      </c>
      <c r="E107" s="138">
        <v>1978</v>
      </c>
      <c r="F107" s="138">
        <v>2871</v>
      </c>
      <c r="G107" s="136">
        <v>0</v>
      </c>
      <c r="H107" s="136">
        <v>0</v>
      </c>
      <c r="I107" s="136">
        <v>0</v>
      </c>
      <c r="J107" s="136">
        <f t="shared" si="16"/>
        <v>0</v>
      </c>
      <c r="K107" s="136">
        <f t="shared" si="17"/>
        <v>0</v>
      </c>
      <c r="L107" s="136">
        <f t="shared" si="18"/>
        <v>0</v>
      </c>
      <c r="M107" s="136">
        <v>226221.17432309096</v>
      </c>
      <c r="N107" s="136">
        <v>197397.62701551567</v>
      </c>
      <c r="O107" s="136">
        <v>132448.56708244598</v>
      </c>
      <c r="P107" s="136">
        <f t="shared" si="19"/>
        <v>185355.78947368418</v>
      </c>
      <c r="Q107" s="136">
        <f t="shared" si="20"/>
        <v>12548.586947368418</v>
      </c>
      <c r="R107" s="137">
        <f t="shared" si="21"/>
        <v>18.535578947368418</v>
      </c>
      <c r="S107" s="136">
        <v>89747</v>
      </c>
      <c r="T107" s="136">
        <v>44713</v>
      </c>
      <c r="U107" s="167">
        <v>81552</v>
      </c>
      <c r="V107" s="136">
        <f t="shared" si="22"/>
        <v>72004</v>
      </c>
      <c r="W107" s="136">
        <f t="shared" si="23"/>
        <v>9634.1352000000006</v>
      </c>
      <c r="X107" s="137">
        <f t="shared" si="24"/>
        <v>12.96072</v>
      </c>
      <c r="Y107" s="136">
        <f t="shared" si="25"/>
        <v>257359.78947368418</v>
      </c>
      <c r="Z107" s="136">
        <f t="shared" si="26"/>
        <v>22182.722147368419</v>
      </c>
      <c r="AA107" s="137">
        <f t="shared" si="27"/>
        <v>31.496298947368416</v>
      </c>
      <c r="AB107" s="176">
        <f t="shared" si="28"/>
        <v>371126.10947368422</v>
      </c>
      <c r="AC107" s="172">
        <f t="shared" si="29"/>
        <v>129.2671924324919</v>
      </c>
      <c r="AE107" s="9"/>
      <c r="AF107" s="9"/>
      <c r="AH107" s="9"/>
    </row>
    <row r="108" spans="1:36" ht="14" x14ac:dyDescent="0.15">
      <c r="A108" s="2">
        <v>3</v>
      </c>
      <c r="B108" s="65" t="s">
        <v>63</v>
      </c>
      <c r="C108" s="66" t="s">
        <v>64</v>
      </c>
      <c r="D108" s="65" t="s">
        <v>65</v>
      </c>
      <c r="E108" s="67">
        <v>1984</v>
      </c>
      <c r="F108" s="67">
        <v>4364</v>
      </c>
      <c r="G108" s="68">
        <v>580125</v>
      </c>
      <c r="H108" s="68">
        <v>696608</v>
      </c>
      <c r="I108" s="68">
        <v>522357</v>
      </c>
      <c r="J108" s="68">
        <f t="shared" si="16"/>
        <v>599696.66666666663</v>
      </c>
      <c r="K108" s="68">
        <f t="shared" si="17"/>
        <v>34182.71</v>
      </c>
      <c r="L108" s="68">
        <f t="shared" si="18"/>
        <v>137.93023333333332</v>
      </c>
      <c r="M108" s="68">
        <v>0</v>
      </c>
      <c r="N108" s="68">
        <v>0</v>
      </c>
      <c r="O108" s="68">
        <v>0</v>
      </c>
      <c r="P108" s="68">
        <f t="shared" si="19"/>
        <v>0</v>
      </c>
      <c r="Q108" s="68">
        <f t="shared" si="20"/>
        <v>0</v>
      </c>
      <c r="R108" s="69">
        <f t="shared" si="21"/>
        <v>0</v>
      </c>
      <c r="S108" s="68">
        <v>87568</v>
      </c>
      <c r="T108" s="68">
        <v>50958</v>
      </c>
      <c r="U108" s="168">
        <v>126332</v>
      </c>
      <c r="V108" s="68">
        <f t="shared" si="22"/>
        <v>88286</v>
      </c>
      <c r="W108" s="68">
        <f t="shared" si="23"/>
        <v>11812.666800000001</v>
      </c>
      <c r="X108" s="69">
        <f t="shared" si="24"/>
        <v>15.891480000000001</v>
      </c>
      <c r="Y108" s="68">
        <f t="shared" si="25"/>
        <v>687982.66666666663</v>
      </c>
      <c r="Z108" s="68">
        <f t="shared" si="26"/>
        <v>45995.376799999998</v>
      </c>
      <c r="AA108" s="69">
        <f t="shared" si="27"/>
        <v>153.82171333333332</v>
      </c>
      <c r="AB108" s="176">
        <f t="shared" si="28"/>
        <v>827474.54666666663</v>
      </c>
      <c r="AC108" s="173">
        <f t="shared" si="29"/>
        <v>189.61378246257254</v>
      </c>
      <c r="AE108" s="9"/>
      <c r="AF108" s="9"/>
      <c r="AH108" s="9"/>
    </row>
    <row r="109" spans="1:36" ht="14" x14ac:dyDescent="0.15">
      <c r="A109" s="1">
        <v>12</v>
      </c>
      <c r="B109" s="65" t="s">
        <v>62</v>
      </c>
      <c r="C109" s="66" t="s">
        <v>76</v>
      </c>
      <c r="D109" s="65" t="s">
        <v>77</v>
      </c>
      <c r="E109" s="67">
        <v>1983</v>
      </c>
      <c r="F109" s="67">
        <v>3007</v>
      </c>
      <c r="G109" s="68">
        <v>296695</v>
      </c>
      <c r="H109" s="68">
        <v>419886</v>
      </c>
      <c r="I109" s="68">
        <v>335536</v>
      </c>
      <c r="J109" s="68">
        <f t="shared" si="16"/>
        <v>350705.66666666669</v>
      </c>
      <c r="K109" s="68">
        <f t="shared" si="17"/>
        <v>19990.223000000002</v>
      </c>
      <c r="L109" s="68">
        <f t="shared" si="18"/>
        <v>80.662303333333341</v>
      </c>
      <c r="M109" s="68">
        <v>0</v>
      </c>
      <c r="N109" s="68">
        <v>0</v>
      </c>
      <c r="O109" s="68">
        <v>0</v>
      </c>
      <c r="P109" s="68">
        <f t="shared" si="19"/>
        <v>0</v>
      </c>
      <c r="Q109" s="68">
        <f t="shared" si="20"/>
        <v>0</v>
      </c>
      <c r="R109" s="69">
        <f t="shared" si="21"/>
        <v>0</v>
      </c>
      <c r="S109" s="68">
        <v>81652</v>
      </c>
      <c r="T109" s="68">
        <v>45259</v>
      </c>
      <c r="U109" s="168">
        <v>105907</v>
      </c>
      <c r="V109" s="68">
        <f t="shared" si="22"/>
        <v>77606</v>
      </c>
      <c r="W109" s="68">
        <f t="shared" si="23"/>
        <v>10383.6828</v>
      </c>
      <c r="X109" s="69">
        <f t="shared" si="24"/>
        <v>13.969080000000002</v>
      </c>
      <c r="Y109" s="68">
        <f t="shared" si="25"/>
        <v>428311.66666666669</v>
      </c>
      <c r="Z109" s="68">
        <f t="shared" si="26"/>
        <v>30373.9058</v>
      </c>
      <c r="AA109" s="69">
        <f t="shared" si="27"/>
        <v>94.631383333333346</v>
      </c>
      <c r="AB109" s="176">
        <f t="shared" si="28"/>
        <v>550929.14666666673</v>
      </c>
      <c r="AC109" s="173">
        <f t="shared" si="29"/>
        <v>183.21554594834276</v>
      </c>
      <c r="AE109" s="9"/>
      <c r="AF109" s="9"/>
      <c r="AH109" s="9"/>
      <c r="AI109" s="57"/>
    </row>
    <row r="110" spans="1:36" ht="14" x14ac:dyDescent="0.15">
      <c r="A110" s="1">
        <v>16</v>
      </c>
      <c r="B110" s="65" t="s">
        <v>8</v>
      </c>
      <c r="C110" s="66" t="s">
        <v>13</v>
      </c>
      <c r="D110" s="65" t="s">
        <v>14</v>
      </c>
      <c r="E110" s="67">
        <v>1979</v>
      </c>
      <c r="F110" s="67">
        <v>3262</v>
      </c>
      <c r="G110" s="68">
        <v>0</v>
      </c>
      <c r="H110" s="68">
        <v>0</v>
      </c>
      <c r="I110" s="68">
        <v>0</v>
      </c>
      <c r="J110" s="68">
        <f t="shared" si="16"/>
        <v>0</v>
      </c>
      <c r="K110" s="68">
        <f t="shared" si="17"/>
        <v>0</v>
      </c>
      <c r="L110" s="68">
        <f t="shared" si="18"/>
        <v>0</v>
      </c>
      <c r="M110" s="68">
        <v>355456.52109381952</v>
      </c>
      <c r="N110" s="68">
        <v>338648.25042300124</v>
      </c>
      <c r="O110" s="68">
        <v>334021.95700776007</v>
      </c>
      <c r="P110" s="68">
        <f t="shared" si="19"/>
        <v>342708.90950819361</v>
      </c>
      <c r="Q110" s="68">
        <f t="shared" si="20"/>
        <v>23201.393173704706</v>
      </c>
      <c r="R110" s="69">
        <f t="shared" si="21"/>
        <v>34.270890950819364</v>
      </c>
      <c r="S110" s="68">
        <v>79106.997257006558</v>
      </c>
      <c r="T110" s="68">
        <v>38162.722242098986</v>
      </c>
      <c r="U110" s="168">
        <v>62450.404770423374</v>
      </c>
      <c r="V110" s="68">
        <f t="shared" si="22"/>
        <v>59906.708089842978</v>
      </c>
      <c r="W110" s="68">
        <f t="shared" si="23"/>
        <v>8015.5175424209901</v>
      </c>
      <c r="X110" s="69">
        <f t="shared" si="24"/>
        <v>10.783207456171736</v>
      </c>
      <c r="Y110" s="68">
        <f t="shared" si="25"/>
        <v>402615.6175980366</v>
      </c>
      <c r="Z110" s="68">
        <f t="shared" si="26"/>
        <v>31216.910716125698</v>
      </c>
      <c r="AA110" s="69">
        <f t="shared" si="27"/>
        <v>45.054098406991102</v>
      </c>
      <c r="AB110" s="176">
        <f t="shared" si="28"/>
        <v>497268.21637998847</v>
      </c>
      <c r="AC110" s="173">
        <f t="shared" si="29"/>
        <v>152.44273954015588</v>
      </c>
      <c r="AE110" s="9"/>
      <c r="AF110" s="9"/>
      <c r="AH110" s="9"/>
    </row>
    <row r="111" spans="1:36" x14ac:dyDescent="0.15">
      <c r="A111" s="1"/>
      <c r="B111" s="65"/>
      <c r="C111" s="66"/>
      <c r="D111" s="65"/>
      <c r="E111" s="57" t="s">
        <v>123</v>
      </c>
      <c r="F111" s="67">
        <f>SUM(F100:F110)</f>
        <v>33991</v>
      </c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9"/>
      <c r="S111" s="68"/>
      <c r="T111" s="68"/>
      <c r="U111" s="168"/>
      <c r="V111" s="105"/>
      <c r="W111" s="105"/>
      <c r="X111" s="105"/>
      <c r="Y111" s="105"/>
      <c r="Z111" s="105"/>
      <c r="AA111" s="105"/>
      <c r="AB111" s="105"/>
      <c r="AC111" s="173"/>
      <c r="AD111" s="57" t="s">
        <v>155</v>
      </c>
      <c r="AE111" s="37">
        <f>(SUM(Y100:Y110)/F111)</f>
        <v>153.21454106053372</v>
      </c>
      <c r="AF111" s="37">
        <f>AE111-85</f>
        <v>68.214541060533719</v>
      </c>
      <c r="AG111" s="64" t="s">
        <v>171</v>
      </c>
      <c r="AH111" s="64" t="s">
        <v>172</v>
      </c>
      <c r="AI111" s="57"/>
    </row>
    <row r="112" spans="1:36" x14ac:dyDescent="0.15">
      <c r="A112" s="1"/>
      <c r="B112" s="65"/>
      <c r="C112" s="66"/>
      <c r="D112" s="65"/>
      <c r="E112" s="154" t="s">
        <v>147</v>
      </c>
      <c r="F112" s="67">
        <f>F93+F99+F111</f>
        <v>58483</v>
      </c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9"/>
      <c r="S112" s="68"/>
      <c r="T112" s="68"/>
      <c r="U112" s="168"/>
      <c r="V112" s="177"/>
      <c r="W112" s="177"/>
      <c r="X112" s="177"/>
      <c r="Y112" s="177"/>
      <c r="Z112" s="177"/>
      <c r="AA112" s="177"/>
      <c r="AB112" s="177"/>
      <c r="AC112" s="173"/>
      <c r="AD112" s="57" t="s">
        <v>161</v>
      </c>
      <c r="AE112" s="37">
        <f>(SUM(Y92:Y110))/F112</f>
        <v>157.23720232641409</v>
      </c>
      <c r="AF112" s="37">
        <f>AE112-85</f>
        <v>72.237202326414092</v>
      </c>
      <c r="AG112" s="37">
        <f>G147</f>
        <v>3472067.6748777917</v>
      </c>
      <c r="AH112" s="37">
        <f>(SUM(Y92:Y110)-AG112)-(85*F112)</f>
        <v>752580.62877788302</v>
      </c>
      <c r="AI112" s="39"/>
      <c r="AJ112" s="57"/>
    </row>
    <row r="113" spans="1:35" x14ac:dyDescent="0.15">
      <c r="A113" s="1"/>
      <c r="B113" s="65"/>
      <c r="C113" s="66"/>
      <c r="D113" s="65"/>
      <c r="E113" s="68"/>
      <c r="F113" s="67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9"/>
      <c r="S113" s="68"/>
      <c r="T113" s="68"/>
      <c r="U113" s="168"/>
      <c r="V113" s="105"/>
      <c r="W113" s="105"/>
      <c r="X113" s="105"/>
      <c r="Y113" s="105"/>
      <c r="Z113" s="105"/>
      <c r="AA113" s="105"/>
      <c r="AB113" s="105"/>
      <c r="AC113" s="173"/>
      <c r="AE113" s="64" t="s">
        <v>153</v>
      </c>
      <c r="AF113" s="64" t="s">
        <v>153</v>
      </c>
      <c r="AG113" s="64" t="s">
        <v>30</v>
      </c>
      <c r="AH113" s="64" t="s">
        <v>30</v>
      </c>
      <c r="AI113" s="57"/>
    </row>
    <row r="114" spans="1:35" s="45" customFormat="1" x14ac:dyDescent="0.15">
      <c r="A114" s="155" t="s">
        <v>148</v>
      </c>
      <c r="B114" s="156"/>
      <c r="C114" s="157"/>
      <c r="D114" s="156"/>
      <c r="E114" s="68"/>
      <c r="F114" s="156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9"/>
      <c r="S114" s="158"/>
      <c r="T114" s="158"/>
      <c r="U114" s="169"/>
      <c r="V114" s="105"/>
      <c r="W114" s="105"/>
      <c r="X114" s="105"/>
      <c r="Y114" s="105"/>
      <c r="Z114" s="105"/>
      <c r="AA114" s="105"/>
      <c r="AB114" s="105"/>
      <c r="AC114" s="174"/>
    </row>
    <row r="115" spans="1:35" ht="14" customHeight="1" x14ac:dyDescent="0.15">
      <c r="A115" s="103">
        <v>30</v>
      </c>
      <c r="B115" s="65" t="s">
        <v>66</v>
      </c>
      <c r="C115" s="66" t="s">
        <v>11</v>
      </c>
      <c r="D115" s="65" t="s">
        <v>12</v>
      </c>
      <c r="E115" s="67">
        <v>1985</v>
      </c>
      <c r="F115" s="67">
        <v>3133</v>
      </c>
      <c r="G115" s="68">
        <v>0</v>
      </c>
      <c r="H115" s="68">
        <v>0</v>
      </c>
      <c r="I115" s="68">
        <v>0</v>
      </c>
      <c r="J115" s="68">
        <f>(G115+H115+I115)/3</f>
        <v>0</v>
      </c>
      <c r="K115" s="68">
        <f>J115*0.057</f>
        <v>0</v>
      </c>
      <c r="L115" s="68">
        <f>J115*230/1000000</f>
        <v>0</v>
      </c>
      <c r="M115" s="68">
        <v>0</v>
      </c>
      <c r="N115" s="68">
        <v>0</v>
      </c>
      <c r="O115" s="68">
        <v>0</v>
      </c>
      <c r="P115" s="68">
        <f>(M115+N115+O115)/3</f>
        <v>0</v>
      </c>
      <c r="Q115" s="68">
        <f>P115*0.0677</f>
        <v>0</v>
      </c>
      <c r="R115" s="69">
        <f>P115*(100/1000000)</f>
        <v>0</v>
      </c>
      <c r="S115" s="68">
        <v>305895</v>
      </c>
      <c r="T115" s="68">
        <v>258710</v>
      </c>
      <c r="U115" s="168">
        <v>344460</v>
      </c>
      <c r="V115" s="105"/>
      <c r="W115" s="105"/>
      <c r="X115" s="105"/>
      <c r="Y115" s="105"/>
      <c r="Z115" s="105"/>
      <c r="AA115" s="105"/>
      <c r="AB115" s="105"/>
      <c r="AC115" s="173">
        <f>AB115/F115</f>
        <v>0</v>
      </c>
      <c r="AD115" s="74"/>
    </row>
    <row r="116" spans="1:35" ht="15" x14ac:dyDescent="0.15">
      <c r="A116" s="103">
        <v>31</v>
      </c>
      <c r="B116" s="65" t="s">
        <v>6</v>
      </c>
      <c r="C116" s="66" t="s">
        <v>23</v>
      </c>
      <c r="D116" s="65" t="s">
        <v>24</v>
      </c>
      <c r="E116" s="67">
        <v>1973</v>
      </c>
      <c r="F116" s="67">
        <v>3352</v>
      </c>
      <c r="G116" s="68">
        <v>0</v>
      </c>
      <c r="H116" s="68">
        <v>0</v>
      </c>
      <c r="I116" s="68">
        <v>0</v>
      </c>
      <c r="J116" s="68">
        <f>(G116+H116+I116)/3</f>
        <v>0</v>
      </c>
      <c r="K116" s="68">
        <f>J116*0.057</f>
        <v>0</v>
      </c>
      <c r="L116" s="68">
        <f>J116*230/1000000</f>
        <v>0</v>
      </c>
      <c r="M116" s="68">
        <v>284000</v>
      </c>
      <c r="N116" s="68">
        <v>196660</v>
      </c>
      <c r="O116" s="68">
        <v>297039.99999999994</v>
      </c>
      <c r="P116" s="68">
        <f>(M116+N116+O116)/3</f>
        <v>259233.33333333334</v>
      </c>
      <c r="Q116" s="68">
        <f>P116*0.0677</f>
        <v>17550.096666666668</v>
      </c>
      <c r="R116" s="69">
        <f>P116*(100/1000000)</f>
        <v>25.923333333333336</v>
      </c>
      <c r="S116" s="135">
        <v>53011</v>
      </c>
      <c r="T116" s="135">
        <v>23618</v>
      </c>
      <c r="U116" s="170">
        <v>51337</v>
      </c>
      <c r="V116" s="105"/>
      <c r="W116" s="105"/>
      <c r="X116" s="105"/>
      <c r="Y116" s="105"/>
      <c r="Z116" s="105"/>
      <c r="AA116" s="105"/>
      <c r="AB116" s="105"/>
      <c r="AC116" s="173">
        <f>AB116/F116</f>
        <v>0</v>
      </c>
      <c r="AD116" s="74"/>
    </row>
    <row r="117" spans="1:35" ht="14" customHeight="1" x14ac:dyDescent="0.15">
      <c r="A117" s="67">
        <v>32</v>
      </c>
      <c r="B117" s="65" t="s">
        <v>18</v>
      </c>
      <c r="C117" s="66" t="s">
        <v>138</v>
      </c>
      <c r="D117" s="65" t="s">
        <v>139</v>
      </c>
      <c r="E117" s="67">
        <v>1980</v>
      </c>
      <c r="F117" s="67">
        <v>2876</v>
      </c>
      <c r="G117" s="68">
        <v>0</v>
      </c>
      <c r="H117" s="68">
        <v>0</v>
      </c>
      <c r="I117" s="68">
        <v>0</v>
      </c>
      <c r="J117" s="68">
        <f>(G117+H117+I117)/3</f>
        <v>0</v>
      </c>
      <c r="K117" s="68">
        <f>J117*0.057</f>
        <v>0</v>
      </c>
      <c r="L117" s="68">
        <f>J117*230/1000000</f>
        <v>0</v>
      </c>
      <c r="M117" s="68">
        <v>266838.36358428164</v>
      </c>
      <c r="N117" s="68">
        <v>222659.82656701648</v>
      </c>
      <c r="O117" s="68">
        <v>249255.30585141011</v>
      </c>
      <c r="P117" s="68">
        <f>(M117+N117+O117)/3</f>
        <v>246251.16533423608</v>
      </c>
      <c r="Q117" s="68">
        <f>P117*0.0677</f>
        <v>16671.203893127782</v>
      </c>
      <c r="R117" s="69">
        <f>P117*(100/1000000)</f>
        <v>24.625116533423608</v>
      </c>
      <c r="S117" s="68">
        <v>73344</v>
      </c>
      <c r="T117" s="68">
        <v>29427</v>
      </c>
      <c r="U117" s="168">
        <v>59964</v>
      </c>
      <c r="V117" s="68">
        <f>(S117+T117+U117)/3</f>
        <v>54245</v>
      </c>
      <c r="W117" s="68">
        <f>V117*0.1338</f>
        <v>7257.9809999999998</v>
      </c>
      <c r="X117" s="69">
        <f>V117*(180/1000000)</f>
        <v>9.7641000000000009</v>
      </c>
      <c r="Y117" s="68">
        <f>J117+P117+V117</f>
        <v>300496.16533423611</v>
      </c>
      <c r="Z117" s="68">
        <f>K117+Q117+W117</f>
        <v>23929.184893127782</v>
      </c>
      <c r="AA117" s="69">
        <f>L117+R117+X117</f>
        <v>34.389216533423607</v>
      </c>
      <c r="AB117" s="176">
        <f>J117+P117+2.58*V117</f>
        <v>386203.26533423609</v>
      </c>
      <c r="AC117" s="173">
        <f>AB117/F117</f>
        <v>134.28486277268291</v>
      </c>
      <c r="AD117" s="74"/>
    </row>
    <row r="118" spans="1:35" ht="14" customHeight="1" x14ac:dyDescent="0.15">
      <c r="A118" s="149"/>
      <c r="B118" s="147"/>
      <c r="C118" s="148"/>
      <c r="D118" s="147"/>
      <c r="E118" s="57" t="s">
        <v>123</v>
      </c>
      <c r="F118" s="9">
        <f>SUM(F115:F117)</f>
        <v>9361</v>
      </c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1"/>
      <c r="S118" s="150"/>
      <c r="T118" s="150"/>
      <c r="U118" s="150"/>
      <c r="V118" s="70"/>
      <c r="W118" s="70"/>
      <c r="X118" s="71"/>
      <c r="Y118" s="70"/>
      <c r="Z118" s="70"/>
      <c r="AA118" s="71"/>
      <c r="AB118" s="72"/>
      <c r="AC118" s="131"/>
      <c r="AD118" s="74"/>
      <c r="AE118" s="105"/>
    </row>
    <row r="119" spans="1:35" ht="14" customHeight="1" x14ac:dyDescent="0.15">
      <c r="A119" s="149"/>
      <c r="B119" s="147"/>
      <c r="C119" s="148"/>
      <c r="D119" s="147"/>
      <c r="E119" s="57"/>
      <c r="F119" s="9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1"/>
      <c r="S119" s="150"/>
      <c r="T119" s="150"/>
      <c r="U119" s="150"/>
      <c r="V119" s="70"/>
      <c r="W119" s="70"/>
      <c r="X119" s="71"/>
      <c r="Y119" s="70"/>
      <c r="Z119" s="70"/>
      <c r="AA119" s="71"/>
      <c r="AB119" s="72"/>
      <c r="AC119" s="131"/>
      <c r="AD119" s="74"/>
    </row>
    <row r="120" spans="1:35" ht="14" customHeight="1" x14ac:dyDescent="0.15">
      <c r="A120" s="161" t="s">
        <v>149</v>
      </c>
      <c r="B120" s="147"/>
      <c r="C120" s="160"/>
      <c r="D120" s="147"/>
      <c r="E120" s="57"/>
      <c r="F120" s="9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1"/>
      <c r="S120" s="150"/>
      <c r="T120" s="150"/>
      <c r="U120" s="150"/>
      <c r="V120" s="70"/>
      <c r="W120" s="70"/>
      <c r="X120" s="71"/>
      <c r="Y120" s="70"/>
      <c r="Z120" s="70"/>
      <c r="AA120" s="71"/>
      <c r="AB120" s="72"/>
      <c r="AC120" s="131"/>
      <c r="AD120" s="74"/>
    </row>
    <row r="121" spans="1:35" ht="14" customHeight="1" x14ac:dyDescent="0.15">
      <c r="A121" s="2">
        <v>7</v>
      </c>
      <c r="B121" s="65" t="s">
        <v>62</v>
      </c>
      <c r="C121" s="66" t="s">
        <v>74</v>
      </c>
      <c r="D121" s="65" t="s">
        <v>75</v>
      </c>
      <c r="E121" s="67">
        <v>1986</v>
      </c>
      <c r="F121" s="67">
        <v>2587</v>
      </c>
      <c r="G121" s="68">
        <v>481271.26938895416</v>
      </c>
      <c r="H121" s="68">
        <v>622295.96122209157</v>
      </c>
      <c r="I121" s="68">
        <v>417497.21210340771</v>
      </c>
      <c r="J121" s="68">
        <f t="shared" ref="J121" si="30">(G121+H121+I121)/3</f>
        <v>507021.48090481787</v>
      </c>
      <c r="K121" s="68">
        <f t="shared" ref="K121" si="31">J121*0.057</f>
        <v>28900.224411574618</v>
      </c>
      <c r="L121" s="68">
        <f t="shared" ref="L121" si="32">J121*230/1000000</f>
        <v>116.6149406081081</v>
      </c>
      <c r="M121" s="68">
        <v>0</v>
      </c>
      <c r="N121" s="68">
        <v>0</v>
      </c>
      <c r="O121" s="68">
        <v>0</v>
      </c>
      <c r="P121" s="68">
        <f t="shared" ref="P121" si="33">(M121+N121+O121)/3</f>
        <v>0</v>
      </c>
      <c r="Q121" s="68">
        <f t="shared" ref="Q121" si="34">P121*0.0677</f>
        <v>0</v>
      </c>
      <c r="R121" s="69">
        <f t="shared" ref="R121" si="35">P121*(100/1000000)</f>
        <v>0</v>
      </c>
      <c r="S121" s="68">
        <v>114703.95564042302</v>
      </c>
      <c r="T121" s="68">
        <v>57969.229142185664</v>
      </c>
      <c r="U121" s="68">
        <v>109412.96739130434</v>
      </c>
      <c r="V121" s="68">
        <f t="shared" ref="V121" si="36">(S121+T121+U121)/3</f>
        <v>94028.717391304337</v>
      </c>
      <c r="W121" s="68">
        <f t="shared" ref="W121" si="37">V121*0.1338</f>
        <v>12581.04238695652</v>
      </c>
      <c r="X121" s="69">
        <f t="shared" ref="X121" si="38">V121*(180/1000000)</f>
        <v>16.925169130434782</v>
      </c>
      <c r="Y121" s="68">
        <f t="shared" ref="Y121:AA121" si="39">J121+P121+V121</f>
        <v>601050.19829612225</v>
      </c>
      <c r="Z121" s="68">
        <f t="shared" si="39"/>
        <v>41481.266798531142</v>
      </c>
      <c r="AA121" s="69">
        <f t="shared" si="39"/>
        <v>133.54010973854287</v>
      </c>
      <c r="AB121" s="176">
        <f t="shared" ref="AB121" si="40">J121+P121+2.58*V121</f>
        <v>749615.57177438308</v>
      </c>
      <c r="AC121" s="73">
        <f t="shared" ref="AC121" si="41">AB121/F121</f>
        <v>289.76249392129228</v>
      </c>
      <c r="AD121" s="74"/>
      <c r="AE121" s="74"/>
      <c r="AF121" s="74"/>
    </row>
    <row r="122" spans="1:35" ht="14" customHeight="1" x14ac:dyDescent="0.15">
      <c r="A122" s="103">
        <v>22</v>
      </c>
      <c r="B122" s="65" t="s">
        <v>71</v>
      </c>
      <c r="C122" s="66" t="s">
        <v>80</v>
      </c>
      <c r="D122" s="65" t="s">
        <v>81</v>
      </c>
      <c r="E122" s="67">
        <v>1987</v>
      </c>
      <c r="F122" s="67">
        <v>2936</v>
      </c>
      <c r="G122" s="68">
        <v>219571</v>
      </c>
      <c r="H122" s="68">
        <v>257668</v>
      </c>
      <c r="I122" s="68">
        <v>327519</v>
      </c>
      <c r="J122" s="68">
        <f>(G122+H122+I122)/3</f>
        <v>268252.66666666669</v>
      </c>
      <c r="K122" s="68">
        <f>J122*0.057</f>
        <v>15290.402000000002</v>
      </c>
      <c r="L122" s="68">
        <f>J122*230/1000000</f>
        <v>61.698113333333339</v>
      </c>
      <c r="M122" s="68">
        <v>0</v>
      </c>
      <c r="N122" s="68">
        <v>0</v>
      </c>
      <c r="O122" s="68">
        <v>0</v>
      </c>
      <c r="P122" s="68">
        <f>(M122+N122+O122)/3</f>
        <v>0</v>
      </c>
      <c r="Q122" s="68">
        <f>P122*0.0677</f>
        <v>0</v>
      </c>
      <c r="R122" s="69">
        <f>P122*(100/1000000)</f>
        <v>0</v>
      </c>
      <c r="S122" s="68">
        <v>88737</v>
      </c>
      <c r="T122" s="68">
        <v>42681</v>
      </c>
      <c r="U122" s="68">
        <v>93619</v>
      </c>
      <c r="V122" s="68">
        <f>(S122+T122+U122)/3</f>
        <v>75012.333333333328</v>
      </c>
      <c r="W122" s="68">
        <f>V122*0.1338</f>
        <v>10036.6502</v>
      </c>
      <c r="X122" s="69">
        <f>V122*(180/1000000)</f>
        <v>13.502219999999999</v>
      </c>
      <c r="Y122" s="68">
        <f>J122+P122+V122</f>
        <v>343265</v>
      </c>
      <c r="Z122" s="68">
        <f>K122+Q122+W122</f>
        <v>25327.052200000002</v>
      </c>
      <c r="AA122" s="69">
        <f>L122+R122+X122</f>
        <v>75.200333333333333</v>
      </c>
      <c r="AB122" s="176">
        <f>J122+P122+2.58*V122</f>
        <v>461784.48666666669</v>
      </c>
      <c r="AC122" s="73">
        <f>AB122/F122</f>
        <v>157.28354450499546</v>
      </c>
      <c r="AD122" s="74"/>
      <c r="AE122" s="74"/>
      <c r="AF122" s="74"/>
    </row>
    <row r="123" spans="1:35" x14ac:dyDescent="0.15">
      <c r="E123" s="57" t="s">
        <v>123</v>
      </c>
      <c r="F123" s="9">
        <f>F121+F122</f>
        <v>5523</v>
      </c>
    </row>
    <row r="124" spans="1:35" x14ac:dyDescent="0.15">
      <c r="E124" s="33"/>
      <c r="F124" s="37"/>
      <c r="G124" s="57"/>
      <c r="V124" s="32"/>
      <c r="W124" s="25"/>
      <c r="X124" s="26"/>
    </row>
    <row r="126" spans="1:35" x14ac:dyDescent="0.15">
      <c r="D126" s="57" t="s">
        <v>106</v>
      </c>
      <c r="E126" s="33" t="s">
        <v>121</v>
      </c>
      <c r="F126" s="37">
        <f>F93+F99+F111+F118+F123</f>
        <v>73367</v>
      </c>
      <c r="G126" s="57" t="s">
        <v>116</v>
      </c>
      <c r="V126" s="32"/>
      <c r="W126" s="25"/>
      <c r="X126" s="26"/>
    </row>
    <row r="128" spans="1:35" x14ac:dyDescent="0.15">
      <c r="C128" s="153"/>
      <c r="D128" s="57"/>
    </row>
    <row r="130" spans="1:30" x14ac:dyDescent="0.15">
      <c r="A130" s="152" t="s">
        <v>150</v>
      </c>
      <c r="B130" s="133"/>
      <c r="C130" s="134"/>
      <c r="D130" s="133"/>
      <c r="E130" s="132"/>
      <c r="F130" s="132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1"/>
      <c r="S130" s="70"/>
      <c r="T130" s="70"/>
      <c r="U130" s="70"/>
      <c r="V130" s="70"/>
      <c r="W130" s="70"/>
      <c r="X130" s="71"/>
      <c r="Y130" s="70"/>
      <c r="Z130" s="70"/>
      <c r="AA130" s="71"/>
      <c r="AB130" s="72"/>
      <c r="AC130" s="131"/>
      <c r="AD130" s="74"/>
    </row>
    <row r="131" spans="1:30" ht="14" customHeight="1" x14ac:dyDescent="0.15">
      <c r="A131" s="103">
        <v>24</v>
      </c>
      <c r="B131" s="65" t="s">
        <v>6</v>
      </c>
      <c r="C131" s="66" t="s">
        <v>137</v>
      </c>
      <c r="D131" s="65" t="s">
        <v>7</v>
      </c>
      <c r="E131" s="67">
        <v>1972</v>
      </c>
      <c r="F131" s="67">
        <v>1520</v>
      </c>
      <c r="G131" s="68">
        <v>138936</v>
      </c>
      <c r="H131" s="68">
        <v>258323</v>
      </c>
      <c r="I131" s="68">
        <v>237418</v>
      </c>
      <c r="J131" s="68">
        <f>(G131+H131+I131)/3</f>
        <v>211559</v>
      </c>
      <c r="K131" s="68">
        <f>J131*0.057</f>
        <v>12058.863000000001</v>
      </c>
      <c r="L131" s="68">
        <f>J131*230/1000000</f>
        <v>48.658569999999997</v>
      </c>
      <c r="M131" s="68">
        <v>0</v>
      </c>
      <c r="N131" s="68">
        <v>0</v>
      </c>
      <c r="O131" s="68">
        <v>0</v>
      </c>
      <c r="P131" s="68">
        <f>(M131+N131+O131)/3</f>
        <v>0</v>
      </c>
      <c r="Q131" s="68">
        <f>P131*0.0677</f>
        <v>0</v>
      </c>
      <c r="R131" s="69">
        <f>P131*(100/1000000)</f>
        <v>0</v>
      </c>
      <c r="S131" s="68">
        <v>154584.79701089516</v>
      </c>
      <c r="T131" s="68">
        <v>90053.640616659861</v>
      </c>
      <c r="U131" s="68">
        <v>141057.56538666834</v>
      </c>
      <c r="V131" s="70">
        <f>(S131+T131+U131)/3</f>
        <v>128565.33433807445</v>
      </c>
      <c r="W131" s="70">
        <f>V131*0.1338</f>
        <v>17202.041734434362</v>
      </c>
      <c r="X131" s="71">
        <f>V131*(180/1000000)</f>
        <v>23.141760180853403</v>
      </c>
      <c r="Y131" s="70">
        <f>J131+P131+V131</f>
        <v>340124.33433807443</v>
      </c>
      <c r="Z131" s="70">
        <f>K131+Q131+W131</f>
        <v>29260.904734434363</v>
      </c>
      <c r="AA131" s="71">
        <f>L131+R131+X131</f>
        <v>71.800330180853393</v>
      </c>
      <c r="AB131" s="72">
        <f>J131+P131+2.58*V131</f>
        <v>543257.56259223213</v>
      </c>
      <c r="AC131" s="73">
        <f>AB131/F131</f>
        <v>357.40629117910009</v>
      </c>
      <c r="AD131" s="74"/>
    </row>
    <row r="133" spans="1:30" x14ac:dyDescent="0.15">
      <c r="A133" s="52" t="s">
        <v>167</v>
      </c>
      <c r="B133" s="58" t="s">
        <v>175</v>
      </c>
      <c r="C133" s="44"/>
    </row>
    <row r="134" spans="1:30" x14ac:dyDescent="0.15">
      <c r="A134" s="184"/>
      <c r="D134" s="58" t="s">
        <v>174</v>
      </c>
      <c r="E134" s="44"/>
      <c r="F134" s="9" t="s">
        <v>88</v>
      </c>
      <c r="G134" s="64" t="s">
        <v>118</v>
      </c>
      <c r="H134" s="64" t="s">
        <v>95</v>
      </c>
      <c r="I134" s="64" t="s">
        <v>96</v>
      </c>
    </row>
    <row r="135" spans="1:30" x14ac:dyDescent="0.15">
      <c r="A135" s="184"/>
      <c r="C135" s="57" t="s">
        <v>107</v>
      </c>
      <c r="F135" s="42">
        <f>0.75*F31</f>
        <v>25365.624999999996</v>
      </c>
      <c r="G135" s="51">
        <f>F135*D136</f>
        <v>12048671.874999998</v>
      </c>
      <c r="H135" s="42">
        <f>G135*W27</f>
        <v>1612112.2968749998</v>
      </c>
      <c r="I135" s="42">
        <f>67*G53/1000000</f>
        <v>807.26101562499991</v>
      </c>
    </row>
    <row r="136" spans="1:30" x14ac:dyDescent="0.15">
      <c r="A136" s="184"/>
      <c r="D136" s="9">
        <f>250*1900/1000</f>
        <v>475</v>
      </c>
      <c r="F136" s="37"/>
      <c r="G136" s="39"/>
      <c r="H136" s="37"/>
      <c r="I136" s="37"/>
    </row>
    <row r="137" spans="1:30" x14ac:dyDescent="0.15">
      <c r="A137" s="184"/>
      <c r="D137" s="9"/>
      <c r="F137" s="62" t="s">
        <v>112</v>
      </c>
      <c r="G137" s="39"/>
      <c r="H137" s="37"/>
      <c r="I137" s="37"/>
    </row>
    <row r="138" spans="1:30" x14ac:dyDescent="0.15">
      <c r="A138" s="184"/>
      <c r="D138" s="44"/>
      <c r="E138" s="60" t="s">
        <v>109</v>
      </c>
      <c r="F138" s="42">
        <f>F135*(899000/2469)</f>
        <v>9236005.214661805</v>
      </c>
      <c r="G138" s="57" t="s">
        <v>113</v>
      </c>
    </row>
    <row r="139" spans="1:30" x14ac:dyDescent="0.15">
      <c r="A139" s="184"/>
      <c r="D139" s="46"/>
      <c r="E139" s="46"/>
      <c r="F139" s="61" t="s">
        <v>32</v>
      </c>
      <c r="I139" s="37"/>
    </row>
    <row r="140" spans="1:30" x14ac:dyDescent="0.15">
      <c r="A140" s="184"/>
      <c r="D140" s="44"/>
      <c r="E140" s="60" t="s">
        <v>110</v>
      </c>
      <c r="F140" s="42">
        <f>250*355*F135/1000000</f>
        <v>2251.1992187499995</v>
      </c>
      <c r="G140" t="s">
        <v>111</v>
      </c>
    </row>
    <row r="141" spans="1:30" x14ac:dyDescent="0.15">
      <c r="A141" s="184"/>
      <c r="D141" s="46"/>
      <c r="E141" s="180"/>
      <c r="F141" s="47"/>
    </row>
    <row r="142" spans="1:30" x14ac:dyDescent="0.15">
      <c r="A142" s="184"/>
      <c r="D142" s="58" t="s">
        <v>176</v>
      </c>
      <c r="E142" s="180"/>
      <c r="F142" s="47"/>
    </row>
    <row r="143" spans="1:30" x14ac:dyDescent="0.15">
      <c r="A143" s="184"/>
    </row>
    <row r="144" spans="1:30" x14ac:dyDescent="0.15">
      <c r="A144" s="184"/>
      <c r="D144" s="44"/>
      <c r="E144" s="60" t="s">
        <v>108</v>
      </c>
      <c r="F144" s="50">
        <f>F32</f>
        <v>10146249.999999998</v>
      </c>
      <c r="G144" s="57" t="s">
        <v>165</v>
      </c>
    </row>
    <row r="145" spans="1:12" x14ac:dyDescent="0.15">
      <c r="A145" s="184"/>
      <c r="D145" t="s">
        <v>3</v>
      </c>
    </row>
    <row r="146" spans="1:12" x14ac:dyDescent="0.15">
      <c r="A146" s="184"/>
      <c r="G146" s="9"/>
      <c r="H146" s="9"/>
      <c r="I146" s="9"/>
    </row>
    <row r="147" spans="1:12" x14ac:dyDescent="0.15">
      <c r="A147" s="184"/>
      <c r="D147" s="58" t="s">
        <v>159</v>
      </c>
      <c r="F147">
        <f>F112</f>
        <v>58483</v>
      </c>
      <c r="G147" s="42">
        <f>G37+G39+G42</f>
        <v>3472067.6748777917</v>
      </c>
      <c r="H147" s="42">
        <f>H37+H39+H42</f>
        <v>293449.21228185442</v>
      </c>
      <c r="I147" s="42">
        <f>I37+I39+I42</f>
        <v>571.10968225957208</v>
      </c>
    </row>
    <row r="148" spans="1:12" x14ac:dyDescent="0.15">
      <c r="A148" s="184"/>
      <c r="F148" s="64"/>
      <c r="G148" s="64"/>
      <c r="H148" s="64"/>
      <c r="I148" s="64"/>
    </row>
    <row r="149" spans="1:12" x14ac:dyDescent="0.15">
      <c r="A149" s="52" t="s">
        <v>168</v>
      </c>
      <c r="B149" s="58" t="s">
        <v>166</v>
      </c>
      <c r="C149" s="44"/>
      <c r="D149" s="179"/>
      <c r="F149" s="64" t="s">
        <v>160</v>
      </c>
      <c r="G149" s="64" t="s">
        <v>94</v>
      </c>
      <c r="H149" s="64" t="s">
        <v>95</v>
      </c>
      <c r="I149" s="64" t="s">
        <v>96</v>
      </c>
    </row>
    <row r="150" spans="1:12" x14ac:dyDescent="0.15">
      <c r="A150" s="184"/>
      <c r="D150" s="179"/>
      <c r="F150" s="9"/>
      <c r="G150" s="37"/>
      <c r="H150" s="37"/>
      <c r="I150" s="37"/>
    </row>
    <row r="151" spans="1:12" x14ac:dyDescent="0.15">
      <c r="A151" s="184"/>
      <c r="D151" s="58" t="s">
        <v>164</v>
      </c>
      <c r="F151" s="57" t="s">
        <v>177</v>
      </c>
      <c r="J151" s="42">
        <f>(G153/G147)*F32</f>
        <v>2199228.7938357531</v>
      </c>
      <c r="L151" s="56"/>
    </row>
    <row r="152" spans="1:12" x14ac:dyDescent="0.15">
      <c r="A152" s="184"/>
      <c r="F152" s="57"/>
    </row>
    <row r="153" spans="1:12" x14ac:dyDescent="0.15">
      <c r="A153" s="184"/>
      <c r="D153" s="58" t="s">
        <v>159</v>
      </c>
      <c r="F153" s="39"/>
      <c r="G153" s="42">
        <f>AH112</f>
        <v>752580.62877788302</v>
      </c>
      <c r="H153" s="42">
        <f>G153*W27</f>
        <v>100695.28813048075</v>
      </c>
      <c r="I153" s="42">
        <f>G153*I147/G147</f>
        <v>123.78966196019606</v>
      </c>
    </row>
    <row r="154" spans="1:12" x14ac:dyDescent="0.15">
      <c r="A154" s="184"/>
      <c r="G154" s="64"/>
    </row>
    <row r="155" spans="1:12" x14ac:dyDescent="0.15">
      <c r="A155" s="52" t="s">
        <v>169</v>
      </c>
      <c r="B155" s="58" t="s">
        <v>173</v>
      </c>
      <c r="C155" s="44"/>
      <c r="F155" s="64" t="s">
        <v>160</v>
      </c>
      <c r="G155" s="64" t="s">
        <v>94</v>
      </c>
      <c r="H155" s="64" t="s">
        <v>95</v>
      </c>
      <c r="I155" s="64" t="s">
        <v>96</v>
      </c>
    </row>
    <row r="156" spans="1:12" x14ac:dyDescent="0.15">
      <c r="A156" s="184"/>
    </row>
    <row r="157" spans="1:12" x14ac:dyDescent="0.15">
      <c r="A157" s="184"/>
      <c r="D157" s="58" t="s">
        <v>164</v>
      </c>
      <c r="F157" s="57" t="s">
        <v>162</v>
      </c>
      <c r="J157" s="42">
        <f>150*F118*2</f>
        <v>2808300</v>
      </c>
      <c r="K157" s="58" t="s">
        <v>31</v>
      </c>
    </row>
    <row r="158" spans="1:12" x14ac:dyDescent="0.15">
      <c r="A158" s="184"/>
      <c r="F158" s="57" t="s">
        <v>163</v>
      </c>
    </row>
    <row r="159" spans="1:12" x14ac:dyDescent="0.15">
      <c r="A159" s="184"/>
      <c r="D159" s="58" t="s">
        <v>159</v>
      </c>
      <c r="F159" s="9">
        <f>F118</f>
        <v>9361</v>
      </c>
      <c r="G159" s="42">
        <f>(G147+G153)*(F159/F147)</f>
        <v>676212.45097756223</v>
      </c>
      <c r="H159" s="42">
        <f>G159*W27</f>
        <v>90477.225940797827</v>
      </c>
      <c r="I159" s="42">
        <f>G159*(I147+I153)/(G147+G153)</f>
        <v>111.22809639110939</v>
      </c>
    </row>
    <row r="160" spans="1:12" x14ac:dyDescent="0.15">
      <c r="A160" s="184"/>
      <c r="D160" s="179"/>
      <c r="F160" s="9"/>
      <c r="G160" s="37"/>
      <c r="H160" s="37"/>
      <c r="I160" s="37"/>
    </row>
    <row r="161" spans="1:10" x14ac:dyDescent="0.15">
      <c r="A161" s="184"/>
    </row>
    <row r="162" spans="1:10" x14ac:dyDescent="0.15">
      <c r="A162" s="52" t="s">
        <v>170</v>
      </c>
      <c r="B162" s="58" t="s">
        <v>178</v>
      </c>
      <c r="C162" s="44"/>
      <c r="F162" s="64" t="s">
        <v>160</v>
      </c>
      <c r="G162" s="64" t="s">
        <v>94</v>
      </c>
      <c r="H162" s="64" t="s">
        <v>95</v>
      </c>
      <c r="I162" s="64" t="s">
        <v>96</v>
      </c>
    </row>
    <row r="163" spans="1:10" x14ac:dyDescent="0.15">
      <c r="A163" s="185"/>
      <c r="B163" s="181"/>
      <c r="C163" s="46"/>
      <c r="F163" s="64"/>
      <c r="G163" s="64"/>
      <c r="H163" s="64"/>
      <c r="I163" s="64"/>
    </row>
    <row r="164" spans="1:10" x14ac:dyDescent="0.15">
      <c r="A164" s="184"/>
      <c r="D164" s="58" t="s">
        <v>164</v>
      </c>
      <c r="F164" s="57" t="s">
        <v>162</v>
      </c>
      <c r="J164" s="42">
        <f>150*F123*2</f>
        <v>1656900</v>
      </c>
    </row>
    <row r="165" spans="1:10" x14ac:dyDescent="0.15">
      <c r="A165" s="184"/>
      <c r="F165" s="57" t="s">
        <v>163</v>
      </c>
    </row>
    <row r="166" spans="1:10" x14ac:dyDescent="0.15">
      <c r="A166" s="184"/>
    </row>
    <row r="167" spans="1:10" x14ac:dyDescent="0.15">
      <c r="A167" s="184"/>
      <c r="D167" s="58" t="s">
        <v>159</v>
      </c>
      <c r="E167" s="182"/>
      <c r="F167" s="182">
        <f>F123</f>
        <v>5523</v>
      </c>
      <c r="G167" s="42">
        <f>(G147+G153)*(F167/F147)</f>
        <v>398966.06844878499</v>
      </c>
      <c r="H167" s="42">
        <f>G167*W27</f>
        <v>53381.659958447432</v>
      </c>
      <c r="I167" s="42">
        <f>G167*(I147+I153)/(G147+G153)</f>
        <v>65.624695691496328</v>
      </c>
    </row>
    <row r="168" spans="1:10" x14ac:dyDescent="0.15">
      <c r="A168" s="184"/>
    </row>
    <row r="169" spans="1:10" x14ac:dyDescent="0.15">
      <c r="A169" s="184"/>
    </row>
    <row r="170" spans="1:10" x14ac:dyDescent="0.15">
      <c r="A170" s="52" t="s">
        <v>192</v>
      </c>
      <c r="B170" s="58" t="s">
        <v>179</v>
      </c>
    </row>
    <row r="171" spans="1:10" x14ac:dyDescent="0.15">
      <c r="D171" s="64" t="s">
        <v>180</v>
      </c>
      <c r="E171" s="9"/>
      <c r="F171" s="64" t="s">
        <v>188</v>
      </c>
      <c r="G171" s="64" t="s">
        <v>94</v>
      </c>
      <c r="H171" s="64" t="s">
        <v>95</v>
      </c>
      <c r="I171" s="64" t="s">
        <v>96</v>
      </c>
    </row>
    <row r="172" spans="1:10" x14ac:dyDescent="0.15">
      <c r="C172" s="57" t="s">
        <v>181</v>
      </c>
      <c r="D172" s="37">
        <f>F138</f>
        <v>9236005.214661805</v>
      </c>
      <c r="E172" s="9"/>
      <c r="F172" s="9"/>
      <c r="G172" s="37">
        <f>G53</f>
        <v>12048671.874999998</v>
      </c>
      <c r="H172" s="37">
        <f>H53</f>
        <v>1612112.2968749998</v>
      </c>
      <c r="I172" s="37">
        <f>I135</f>
        <v>807.26101562499991</v>
      </c>
    </row>
    <row r="173" spans="1:10" x14ac:dyDescent="0.15">
      <c r="C173" s="57" t="s">
        <v>182</v>
      </c>
      <c r="D173" s="9">
        <f>F144</f>
        <v>10146249.999999998</v>
      </c>
      <c r="E173" s="9"/>
      <c r="F173" s="9"/>
      <c r="G173" s="37">
        <f>G147</f>
        <v>3472067.6748777917</v>
      </c>
      <c r="H173" s="37">
        <f>H147</f>
        <v>293449.21228185442</v>
      </c>
      <c r="I173" s="37">
        <f>I147</f>
        <v>571.10968225957208</v>
      </c>
    </row>
    <row r="174" spans="1:10" x14ac:dyDescent="0.15">
      <c r="C174" s="57" t="s">
        <v>183</v>
      </c>
      <c r="D174" s="37">
        <f>J151</f>
        <v>2199228.7938357531</v>
      </c>
      <c r="E174" s="9"/>
      <c r="F174" s="9"/>
      <c r="G174" s="37">
        <f>G153</f>
        <v>752580.62877788302</v>
      </c>
      <c r="H174" s="37">
        <f>H153</f>
        <v>100695.28813048075</v>
      </c>
      <c r="I174" s="37">
        <f>I153</f>
        <v>123.78966196019606</v>
      </c>
    </row>
    <row r="175" spans="1:10" x14ac:dyDescent="0.15">
      <c r="C175" s="57" t="s">
        <v>184</v>
      </c>
      <c r="D175" s="37">
        <f>J157</f>
        <v>2808300</v>
      </c>
      <c r="E175" s="9"/>
      <c r="F175" s="9"/>
      <c r="G175" s="37">
        <f>G159</f>
        <v>676212.45097756223</v>
      </c>
      <c r="H175" s="37">
        <f>H159</f>
        <v>90477.225940797827</v>
      </c>
      <c r="I175" s="37">
        <f>I159</f>
        <v>111.22809639110939</v>
      </c>
    </row>
    <row r="176" spans="1:10" x14ac:dyDescent="0.15">
      <c r="C176" s="57" t="s">
        <v>185</v>
      </c>
      <c r="D176" s="37">
        <f>J164</f>
        <v>1656900</v>
      </c>
      <c r="E176" s="9"/>
      <c r="F176" s="9"/>
      <c r="G176" s="37">
        <f>G167</f>
        <v>398966.06844878499</v>
      </c>
      <c r="H176" s="37">
        <f>H167</f>
        <v>53381.659958447432</v>
      </c>
      <c r="I176" s="37">
        <f>I167</f>
        <v>65.624695691496328</v>
      </c>
    </row>
    <row r="177" spans="1:9" x14ac:dyDescent="0.15">
      <c r="D177" s="9"/>
      <c r="E177" s="9"/>
      <c r="F177" s="9"/>
      <c r="G177" s="9"/>
      <c r="H177" s="9"/>
      <c r="I177" s="9"/>
    </row>
    <row r="178" spans="1:9" x14ac:dyDescent="0.15">
      <c r="C178" s="57" t="s">
        <v>186</v>
      </c>
      <c r="D178" s="42">
        <f>D172+D173+D174+D175+D176</f>
        <v>26046684.008497555</v>
      </c>
      <c r="E178" s="37"/>
      <c r="F178" s="37"/>
      <c r="G178" s="42">
        <f t="shared" ref="G178:I178" si="42">G172+G173+G174+G175+G176</f>
        <v>17348498.698082022</v>
      </c>
      <c r="H178" s="42">
        <f t="shared" si="42"/>
        <v>2150115.68318658</v>
      </c>
      <c r="I178" s="42">
        <f t="shared" si="42"/>
        <v>1679.0131519273739</v>
      </c>
    </row>
    <row r="179" spans="1:9" x14ac:dyDescent="0.15">
      <c r="C179" s="57" t="s">
        <v>187</v>
      </c>
      <c r="D179" s="37">
        <f>D178-(D172*0.8)</f>
        <v>18657879.836768109</v>
      </c>
    </row>
    <row r="182" spans="1:9" x14ac:dyDescent="0.15">
      <c r="D182" s="57" t="s">
        <v>189</v>
      </c>
      <c r="G182" s="39"/>
    </row>
    <row r="183" spans="1:9" x14ac:dyDescent="0.15">
      <c r="D183" s="57"/>
      <c r="G183" s="39"/>
    </row>
    <row r="184" spans="1:9" x14ac:dyDescent="0.15">
      <c r="D184" s="57" t="s">
        <v>205</v>
      </c>
      <c r="G184" s="183">
        <f>(D178-(5*H178/2))/H178</f>
        <v>9.6140849360696041</v>
      </c>
      <c r="H184" s="58" t="s">
        <v>191</v>
      </c>
      <c r="I184" s="58"/>
    </row>
    <row r="185" spans="1:9" x14ac:dyDescent="0.15">
      <c r="G185" s="64" t="s">
        <v>30</v>
      </c>
      <c r="H185" s="64" t="s">
        <v>112</v>
      </c>
      <c r="I185" s="64" t="s">
        <v>32</v>
      </c>
    </row>
    <row r="186" spans="1:9" x14ac:dyDescent="0.15">
      <c r="D186" s="57" t="s">
        <v>190</v>
      </c>
      <c r="G186" s="42">
        <f>G178*7.5</f>
        <v>130113740.23561516</v>
      </c>
      <c r="H186" s="42">
        <f>H178*7.5</f>
        <v>16125867.62389935</v>
      </c>
      <c r="I186" s="42">
        <f t="shared" ref="I186" si="43">I178*7.5</f>
        <v>12592.598639455304</v>
      </c>
    </row>
    <row r="188" spans="1:9" x14ac:dyDescent="0.15">
      <c r="A188" s="57" t="s">
        <v>194</v>
      </c>
      <c r="D188" s="57"/>
    </row>
    <row r="189" spans="1:9" x14ac:dyDescent="0.15">
      <c r="D189" s="57" t="s">
        <v>193</v>
      </c>
      <c r="E189" s="64" t="s">
        <v>195</v>
      </c>
      <c r="F189" s="64" t="s">
        <v>197</v>
      </c>
      <c r="G189" s="64" t="s">
        <v>30</v>
      </c>
      <c r="H189" s="64" t="s">
        <v>112</v>
      </c>
      <c r="I189" s="64" t="s">
        <v>32</v>
      </c>
    </row>
    <row r="190" spans="1:9" x14ac:dyDescent="0.15">
      <c r="C190" s="33" t="s">
        <v>182</v>
      </c>
      <c r="D190" s="42">
        <f>F138+F144</f>
        <v>19382255.214661803</v>
      </c>
      <c r="E190" s="48">
        <f>10.2+1</f>
        <v>11.2</v>
      </c>
      <c r="F190" s="186">
        <f>H190/D190</f>
        <v>0.737360599186898</v>
      </c>
      <c r="G190" s="42">
        <f>(G135+G147)*7.5</f>
        <v>116405546.62408341</v>
      </c>
      <c r="H190" s="42">
        <f>(H135+H147)*7.5</f>
        <v>14291711.318676407</v>
      </c>
      <c r="I190" s="42">
        <f>(I135+I147)*7.5</f>
        <v>10337.78023413429</v>
      </c>
    </row>
    <row r="191" spans="1:9" x14ac:dyDescent="0.15">
      <c r="C191" s="154" t="s">
        <v>196</v>
      </c>
      <c r="D191" s="42">
        <f>D178</f>
        <v>26046684.008497555</v>
      </c>
      <c r="E191" s="48">
        <f>15</f>
        <v>15</v>
      </c>
      <c r="F191" s="186">
        <f>H186/D178</f>
        <v>0.61911403457877379</v>
      </c>
      <c r="G191" s="42">
        <f>G186</f>
        <v>130113740.23561516</v>
      </c>
      <c r="H191" s="42">
        <f>H186</f>
        <v>16125867.62389935</v>
      </c>
      <c r="I191" s="42">
        <f>I186</f>
        <v>12592.598639455304</v>
      </c>
    </row>
    <row r="193" spans="1:40" x14ac:dyDescent="0.15">
      <c r="C193" s="154" t="s">
        <v>198</v>
      </c>
      <c r="D193" s="186">
        <f>D191/D190</f>
        <v>1.3438417624794463</v>
      </c>
      <c r="E193" s="186">
        <f>E191/E190</f>
        <v>1.3392857142857144</v>
      </c>
      <c r="F193" s="187">
        <f>F191/F190</f>
        <v>0.83963536329644273</v>
      </c>
      <c r="G193" s="186">
        <f>G191/G190</f>
        <v>1.1177623748102019</v>
      </c>
      <c r="H193" s="186">
        <f t="shared" ref="H193:I193" si="44">H191/H190</f>
        <v>1.1283370664523618</v>
      </c>
      <c r="I193" s="186">
        <f t="shared" si="44"/>
        <v>1.2181143682930919</v>
      </c>
    </row>
    <row r="194" spans="1:40" x14ac:dyDescent="0.15">
      <c r="C194" s="33"/>
    </row>
    <row r="198" spans="1:40" x14ac:dyDescent="0.15">
      <c r="A198" s="57" t="s">
        <v>200</v>
      </c>
    </row>
    <row r="200" spans="1:40" ht="15" x14ac:dyDescent="0.2">
      <c r="A200" s="188">
        <v>2</v>
      </c>
      <c r="B200" s="189" t="s">
        <v>66</v>
      </c>
      <c r="C200" s="190" t="s">
        <v>146</v>
      </c>
      <c r="D200" s="191" t="s">
        <v>68</v>
      </c>
      <c r="E200" s="191">
        <v>2015</v>
      </c>
      <c r="F200" s="191">
        <v>2017</v>
      </c>
      <c r="G200" s="192">
        <v>221509</v>
      </c>
      <c r="H200" s="192">
        <v>369882</v>
      </c>
      <c r="I200" s="192">
        <v>420096</v>
      </c>
      <c r="J200" s="192">
        <v>337162</v>
      </c>
      <c r="K200" s="192">
        <v>19218</v>
      </c>
      <c r="L200" s="192">
        <v>78</v>
      </c>
      <c r="M200" s="192">
        <v>0</v>
      </c>
      <c r="N200" s="192">
        <v>0</v>
      </c>
      <c r="O200" s="192">
        <v>0</v>
      </c>
      <c r="P200" s="192">
        <v>0</v>
      </c>
      <c r="Q200" s="192">
        <v>0</v>
      </c>
      <c r="R200" s="193">
        <v>0</v>
      </c>
      <c r="S200" s="194">
        <v>413298</v>
      </c>
      <c r="T200" s="194">
        <v>301834</v>
      </c>
      <c r="U200" s="195">
        <v>450162</v>
      </c>
      <c r="V200" s="196">
        <v>388431</v>
      </c>
      <c r="W200" s="192">
        <v>51972</v>
      </c>
      <c r="X200" s="193">
        <v>69.918000000000006</v>
      </c>
      <c r="Y200" s="192">
        <v>725594</v>
      </c>
      <c r="Z200" s="192">
        <v>71190</v>
      </c>
      <c r="AA200" s="193">
        <v>147.465</v>
      </c>
      <c r="AB200" s="197">
        <v>1339315</v>
      </c>
      <c r="AC200" s="198">
        <v>664</v>
      </c>
      <c r="AD200" s="57"/>
      <c r="AE200" s="64"/>
      <c r="AF200" s="64"/>
      <c r="AG200" s="57"/>
      <c r="AH200" s="64"/>
      <c r="AI200" s="57"/>
      <c r="AJ200" s="57"/>
      <c r="AK200" s="57"/>
      <c r="AL200" s="57"/>
      <c r="AM200" s="57"/>
      <c r="AN200" s="57"/>
    </row>
    <row r="201" spans="1:40" ht="14" x14ac:dyDescent="0.15">
      <c r="A201" s="1">
        <v>12</v>
      </c>
      <c r="B201" s="65" t="s">
        <v>62</v>
      </c>
      <c r="C201" s="66" t="s">
        <v>76</v>
      </c>
      <c r="D201" s="65" t="s">
        <v>77</v>
      </c>
      <c r="E201" s="67">
        <v>1983</v>
      </c>
      <c r="F201" s="67">
        <v>3007</v>
      </c>
      <c r="G201" s="68">
        <v>296695</v>
      </c>
      <c r="H201" s="68">
        <v>419886</v>
      </c>
      <c r="I201" s="68">
        <v>335536</v>
      </c>
      <c r="J201" s="68">
        <f t="shared" ref="J201:J203" si="45">(G201+H201+I201)/3</f>
        <v>350705.66666666669</v>
      </c>
      <c r="K201" s="68">
        <f t="shared" ref="K201:K203" si="46">J201*0.057</f>
        <v>19990.223000000002</v>
      </c>
      <c r="L201" s="68">
        <f t="shared" ref="L201:L203" si="47">J201*230/1000000</f>
        <v>80.662303333333341</v>
      </c>
      <c r="M201" s="68">
        <v>0</v>
      </c>
      <c r="N201" s="68">
        <v>0</v>
      </c>
      <c r="O201" s="68">
        <v>0</v>
      </c>
      <c r="P201" s="68">
        <f t="shared" ref="P201:P203" si="48">(M201+N201+O201)/3</f>
        <v>0</v>
      </c>
      <c r="Q201" s="68">
        <f t="shared" ref="Q201:Q203" si="49">P201*0.0677</f>
        <v>0</v>
      </c>
      <c r="R201" s="69">
        <f t="shared" ref="R201:R203" si="50">P201*(100/1000000)</f>
        <v>0</v>
      </c>
      <c r="S201" s="68">
        <v>81652</v>
      </c>
      <c r="T201" s="68">
        <v>45259</v>
      </c>
      <c r="U201" s="168">
        <v>105907</v>
      </c>
      <c r="V201" s="68">
        <f t="shared" ref="V201:V203" si="51">(S201+T201+U201)/3</f>
        <v>77606</v>
      </c>
      <c r="W201" s="68">
        <f t="shared" ref="W201:W203" si="52">V201*0.1338</f>
        <v>10383.6828</v>
      </c>
      <c r="X201" s="69">
        <f t="shared" ref="X201:X203" si="53">V201*(180/1000000)</f>
        <v>13.969080000000002</v>
      </c>
      <c r="Y201" s="68">
        <f t="shared" ref="Y201:Y204" si="54">J201+P201+V201</f>
        <v>428311.66666666669</v>
      </c>
      <c r="Z201" s="68">
        <f t="shared" ref="Z201:Z204" si="55">K201+Q201+W201</f>
        <v>30373.9058</v>
      </c>
      <c r="AA201" s="69">
        <f t="shared" ref="AA201:AA204" si="56">L201+R201+X201</f>
        <v>94.631383333333346</v>
      </c>
      <c r="AB201" s="176">
        <f t="shared" ref="AB201:AB203" si="57">J201+P201+2.58*V201</f>
        <v>550929.14666666673</v>
      </c>
      <c r="AC201" s="173">
        <f t="shared" ref="AC201:AC203" si="58">AB201/F201</f>
        <v>183.21554594834276</v>
      </c>
      <c r="AE201" s="9"/>
      <c r="AF201" s="9"/>
      <c r="AH201" s="9"/>
      <c r="AI201" s="57"/>
    </row>
    <row r="202" spans="1:40" ht="16" x14ac:dyDescent="0.2">
      <c r="A202" s="1">
        <v>15</v>
      </c>
      <c r="B202" s="139" t="s">
        <v>62</v>
      </c>
      <c r="C202" s="145" t="s">
        <v>145</v>
      </c>
      <c r="D202" s="139" t="s">
        <v>15</v>
      </c>
      <c r="E202" s="138">
        <v>1982</v>
      </c>
      <c r="F202" s="138">
        <f>1785.6+1190.4</f>
        <v>2976</v>
      </c>
      <c r="G202" s="141">
        <v>0</v>
      </c>
      <c r="H202" s="141">
        <v>0</v>
      </c>
      <c r="I202" s="141">
        <v>0</v>
      </c>
      <c r="J202" s="141">
        <f t="shared" si="45"/>
        <v>0</v>
      </c>
      <c r="K202" s="141">
        <f t="shared" si="46"/>
        <v>0</v>
      </c>
      <c r="L202" s="141">
        <f t="shared" si="47"/>
        <v>0</v>
      </c>
      <c r="M202" s="141">
        <v>364031.94103194104</v>
      </c>
      <c r="N202" s="141">
        <v>345685.50368550367</v>
      </c>
      <c r="O202" s="141">
        <v>337873.78378378373</v>
      </c>
      <c r="P202" s="141">
        <f t="shared" si="48"/>
        <v>349197.07616707613</v>
      </c>
      <c r="Q202" s="141">
        <f t="shared" si="49"/>
        <v>23640.642056511053</v>
      </c>
      <c r="R202" s="142">
        <f t="shared" si="50"/>
        <v>34.919707616707612</v>
      </c>
      <c r="S202" s="141">
        <v>64125</v>
      </c>
      <c r="T202" s="141">
        <v>34879</v>
      </c>
      <c r="U202" s="164">
        <v>63063</v>
      </c>
      <c r="V202" s="141">
        <f t="shared" si="51"/>
        <v>54022.333333333336</v>
      </c>
      <c r="W202" s="141">
        <f t="shared" si="52"/>
        <v>7228.1882000000005</v>
      </c>
      <c r="X202" s="142">
        <f t="shared" si="53"/>
        <v>9.7240200000000012</v>
      </c>
      <c r="Y202" s="141">
        <f t="shared" si="54"/>
        <v>403219.40950040944</v>
      </c>
      <c r="Z202" s="141">
        <f t="shared" si="55"/>
        <v>30868.830256511053</v>
      </c>
      <c r="AA202" s="142">
        <f t="shared" si="56"/>
        <v>44.643727616707615</v>
      </c>
      <c r="AB202" s="175">
        <f t="shared" si="57"/>
        <v>488574.69616707612</v>
      </c>
      <c r="AC202" s="172">
        <f t="shared" si="58"/>
        <v>164.17160489485084</v>
      </c>
      <c r="AE202" s="9"/>
      <c r="AF202" s="9"/>
      <c r="AH202" s="9"/>
    </row>
    <row r="203" spans="1:40" ht="14" x14ac:dyDescent="0.15">
      <c r="A203" s="1">
        <v>16</v>
      </c>
      <c r="B203" s="65" t="s">
        <v>8</v>
      </c>
      <c r="C203" s="66" t="s">
        <v>13</v>
      </c>
      <c r="D203" s="65" t="s">
        <v>14</v>
      </c>
      <c r="E203" s="67">
        <v>1979</v>
      </c>
      <c r="F203" s="67">
        <v>3262</v>
      </c>
      <c r="G203" s="68">
        <v>0</v>
      </c>
      <c r="H203" s="68">
        <v>0</v>
      </c>
      <c r="I203" s="68">
        <v>0</v>
      </c>
      <c r="J203" s="68">
        <f t="shared" si="45"/>
        <v>0</v>
      </c>
      <c r="K203" s="68">
        <f t="shared" si="46"/>
        <v>0</v>
      </c>
      <c r="L203" s="68">
        <f t="shared" si="47"/>
        <v>0</v>
      </c>
      <c r="M203" s="68">
        <v>355456.52109381952</v>
      </c>
      <c r="N203" s="68">
        <v>338648.25042300124</v>
      </c>
      <c r="O203" s="68">
        <v>334021.95700776007</v>
      </c>
      <c r="P203" s="68">
        <f t="shared" si="48"/>
        <v>342708.90950819361</v>
      </c>
      <c r="Q203" s="68">
        <f t="shared" si="49"/>
        <v>23201.393173704706</v>
      </c>
      <c r="R203" s="69">
        <f t="shared" si="50"/>
        <v>34.270890950819364</v>
      </c>
      <c r="S203" s="68">
        <v>79106.997257006558</v>
      </c>
      <c r="T203" s="68">
        <v>38162.722242098986</v>
      </c>
      <c r="U203" s="168">
        <v>62450.404770423374</v>
      </c>
      <c r="V203" s="68">
        <f t="shared" si="51"/>
        <v>59906.708089842978</v>
      </c>
      <c r="W203" s="68">
        <f t="shared" si="52"/>
        <v>8015.5175424209901</v>
      </c>
      <c r="X203" s="69">
        <f t="shared" si="53"/>
        <v>10.783207456171736</v>
      </c>
      <c r="Y203" s="68">
        <f t="shared" si="54"/>
        <v>402615.6175980366</v>
      </c>
      <c r="Z203" s="68">
        <f t="shared" si="55"/>
        <v>31216.910716125698</v>
      </c>
      <c r="AA203" s="69">
        <f t="shared" si="56"/>
        <v>45.054098406991102</v>
      </c>
      <c r="AB203" s="176">
        <f t="shared" si="57"/>
        <v>497268.21637998847</v>
      </c>
      <c r="AC203" s="173">
        <f t="shared" si="58"/>
        <v>152.44273954015588</v>
      </c>
      <c r="AE203" s="9"/>
      <c r="AF203" s="9"/>
      <c r="AH203" s="9"/>
    </row>
    <row r="204" spans="1:40" ht="14" x14ac:dyDescent="0.15">
      <c r="A204" s="1">
        <v>17</v>
      </c>
      <c r="B204" s="139" t="s">
        <v>6</v>
      </c>
      <c r="C204" s="143" t="s">
        <v>16</v>
      </c>
      <c r="D204" s="139" t="s">
        <v>17</v>
      </c>
      <c r="E204" s="138">
        <v>1973</v>
      </c>
      <c r="F204" s="138">
        <v>1637</v>
      </c>
      <c r="G204" s="141">
        <v>0</v>
      </c>
      <c r="H204" s="141">
        <v>0</v>
      </c>
      <c r="I204" s="141">
        <v>0</v>
      </c>
      <c r="J204" s="141">
        <f>(G204+H204+I204)/3</f>
        <v>0</v>
      </c>
      <c r="K204" s="141">
        <f>J204*0.057</f>
        <v>0</v>
      </c>
      <c r="L204" s="141">
        <f>J204*230/1000000</f>
        <v>0</v>
      </c>
      <c r="M204" s="141">
        <v>365587.61746821448</v>
      </c>
      <c r="N204" s="141">
        <v>312197.34660033166</v>
      </c>
      <c r="O204" s="141">
        <v>327291.40961857379</v>
      </c>
      <c r="P204" s="141">
        <f>(M204+N204+O204)/3</f>
        <v>335025.45789570664</v>
      </c>
      <c r="Q204" s="141">
        <f>P204*0.0677</f>
        <v>22681.223499539337</v>
      </c>
      <c r="R204" s="142">
        <f>P204*(100/1000000)</f>
        <v>33.502545789570668</v>
      </c>
      <c r="S204" s="141">
        <v>70854.3189607518</v>
      </c>
      <c r="T204" s="141">
        <v>37346.042012161415</v>
      </c>
      <c r="U204" s="164">
        <v>58636.996130458814</v>
      </c>
      <c r="V204" s="141">
        <f>(S204+T204+U204)/3</f>
        <v>55612.452367790676</v>
      </c>
      <c r="W204" s="141">
        <f>V204*0.1338</f>
        <v>7440.9461268103923</v>
      </c>
      <c r="X204" s="142">
        <f>V204*(180/1000000)</f>
        <v>10.010241426202322</v>
      </c>
      <c r="Y204" s="141">
        <f t="shared" si="54"/>
        <v>390637.91026349732</v>
      </c>
      <c r="Z204" s="141">
        <f t="shared" si="55"/>
        <v>30122.169626349729</v>
      </c>
      <c r="AA204" s="142">
        <f t="shared" si="56"/>
        <v>43.512787215772988</v>
      </c>
      <c r="AB204" s="175">
        <f>J204+P204+2.58*V204</f>
        <v>478505.58500460658</v>
      </c>
      <c r="AC204" s="172">
        <f>AB204/F204</f>
        <v>292.30640501197712</v>
      </c>
      <c r="AE204" s="9"/>
      <c r="AF204" s="9"/>
      <c r="AH204" s="9"/>
    </row>
    <row r="205" spans="1:40" ht="14" customHeight="1" x14ac:dyDescent="0.15">
      <c r="A205" s="103">
        <v>30</v>
      </c>
      <c r="B205" s="65" t="s">
        <v>66</v>
      </c>
      <c r="C205" s="66" t="s">
        <v>11</v>
      </c>
      <c r="D205" s="65" t="s">
        <v>12</v>
      </c>
      <c r="E205" s="67">
        <v>1985</v>
      </c>
      <c r="F205" s="67">
        <v>3133</v>
      </c>
      <c r="G205" s="68">
        <v>0</v>
      </c>
      <c r="H205" s="68">
        <v>0</v>
      </c>
      <c r="I205" s="68">
        <v>0</v>
      </c>
      <c r="J205" s="68">
        <f>(G205+H205+I205)/3</f>
        <v>0</v>
      </c>
      <c r="K205" s="68">
        <f>J205*0.057</f>
        <v>0</v>
      </c>
      <c r="L205" s="68">
        <f>J205*230/1000000</f>
        <v>0</v>
      </c>
      <c r="M205" s="68">
        <v>0</v>
      </c>
      <c r="N205" s="68">
        <v>0</v>
      </c>
      <c r="O205" s="68">
        <v>0</v>
      </c>
      <c r="P205" s="68">
        <f>(M205+N205+O205)/3</f>
        <v>0</v>
      </c>
      <c r="Q205" s="68">
        <f>P205*0.0677</f>
        <v>0</v>
      </c>
      <c r="R205" s="69">
        <f>P205*(100/1000000)</f>
        <v>0</v>
      </c>
      <c r="S205" s="68">
        <v>305895</v>
      </c>
      <c r="T205" s="68">
        <v>258710</v>
      </c>
      <c r="U205" s="168">
        <v>344460</v>
      </c>
      <c r="V205" s="105"/>
      <c r="W205" s="105"/>
      <c r="X205" s="105"/>
      <c r="Y205" s="105"/>
      <c r="Z205" s="105"/>
      <c r="AA205" s="105"/>
      <c r="AB205" s="105"/>
      <c r="AC205" s="173">
        <f>AB205/F205</f>
        <v>0</v>
      </c>
      <c r="AD205" s="74"/>
    </row>
    <row r="206" spans="1:40" ht="15" x14ac:dyDescent="0.15">
      <c r="A206" s="103">
        <v>31</v>
      </c>
      <c r="B206" s="65" t="s">
        <v>6</v>
      </c>
      <c r="C206" s="66" t="s">
        <v>23</v>
      </c>
      <c r="D206" s="65" t="s">
        <v>24</v>
      </c>
      <c r="E206" s="67">
        <v>1973</v>
      </c>
      <c r="F206" s="67">
        <v>3352</v>
      </c>
      <c r="G206" s="68">
        <v>0</v>
      </c>
      <c r="H206" s="68">
        <v>0</v>
      </c>
      <c r="I206" s="68">
        <v>0</v>
      </c>
      <c r="J206" s="68">
        <f>(G206+H206+I206)/3</f>
        <v>0</v>
      </c>
      <c r="K206" s="68">
        <f>J206*0.057</f>
        <v>0</v>
      </c>
      <c r="L206" s="68">
        <f>J206*230/1000000</f>
        <v>0</v>
      </c>
      <c r="M206" s="68">
        <v>284000</v>
      </c>
      <c r="N206" s="68">
        <v>196660</v>
      </c>
      <c r="O206" s="68">
        <v>297039.99999999994</v>
      </c>
      <c r="P206" s="68">
        <f>(M206+N206+O206)/3</f>
        <v>259233.33333333334</v>
      </c>
      <c r="Q206" s="68">
        <f>P206*0.0677</f>
        <v>17550.096666666668</v>
      </c>
      <c r="R206" s="69">
        <f>P206*(100/1000000)</f>
        <v>25.923333333333336</v>
      </c>
      <c r="S206" s="135">
        <v>53011</v>
      </c>
      <c r="T206" s="135">
        <v>23618</v>
      </c>
      <c r="U206" s="170">
        <v>51337</v>
      </c>
      <c r="V206" s="105"/>
      <c r="W206" s="105"/>
      <c r="X206" s="105"/>
      <c r="Y206" s="105"/>
      <c r="Z206" s="105"/>
      <c r="AA206" s="105"/>
      <c r="AB206" s="105"/>
      <c r="AC206" s="173">
        <f>AB206/F206</f>
        <v>0</v>
      </c>
      <c r="AD206" s="74"/>
    </row>
    <row r="207" spans="1:40" ht="14" customHeight="1" x14ac:dyDescent="0.15">
      <c r="A207" s="67">
        <v>32</v>
      </c>
      <c r="B207" s="65" t="s">
        <v>18</v>
      </c>
      <c r="C207" s="66" t="s">
        <v>138</v>
      </c>
      <c r="D207" s="65" t="s">
        <v>139</v>
      </c>
      <c r="E207" s="67">
        <v>1980</v>
      </c>
      <c r="F207" s="67">
        <v>2876</v>
      </c>
      <c r="G207" s="68">
        <v>0</v>
      </c>
      <c r="H207" s="68">
        <v>0</v>
      </c>
      <c r="I207" s="68">
        <v>0</v>
      </c>
      <c r="J207" s="68">
        <f>(G207+H207+I207)/3</f>
        <v>0</v>
      </c>
      <c r="K207" s="68">
        <f>J207*0.057</f>
        <v>0</v>
      </c>
      <c r="L207" s="68">
        <f>J207*230/1000000</f>
        <v>0</v>
      </c>
      <c r="M207" s="68">
        <v>266838.36358428164</v>
      </c>
      <c r="N207" s="68">
        <v>222659.82656701648</v>
      </c>
      <c r="O207" s="68">
        <v>249255.30585141011</v>
      </c>
      <c r="P207" s="68">
        <f>(M207+N207+O207)/3</f>
        <v>246251.16533423608</v>
      </c>
      <c r="Q207" s="68">
        <f>P207*0.0677</f>
        <v>16671.203893127782</v>
      </c>
      <c r="R207" s="69">
        <f>P207*(100/1000000)</f>
        <v>24.625116533423608</v>
      </c>
      <c r="S207" s="68">
        <v>73344</v>
      </c>
      <c r="T207" s="68">
        <v>29427</v>
      </c>
      <c r="U207" s="168">
        <v>59964</v>
      </c>
      <c r="V207" s="68">
        <f>(S207+T207+U207)/3</f>
        <v>54245</v>
      </c>
      <c r="W207" s="68">
        <f>V207*0.1338</f>
        <v>7257.9809999999998</v>
      </c>
      <c r="X207" s="69">
        <f>V207*(180/1000000)</f>
        <v>9.7641000000000009</v>
      </c>
      <c r="Y207" s="68">
        <f>J207+P207+V207</f>
        <v>300496.16533423611</v>
      </c>
      <c r="Z207" s="68">
        <f>K207+Q207+W207</f>
        <v>23929.184893127782</v>
      </c>
      <c r="AA207" s="69">
        <f>L207+R207+X207</f>
        <v>34.389216533423607</v>
      </c>
      <c r="AB207" s="176">
        <f>J207+P207+2.58*V207</f>
        <v>386203.26533423609</v>
      </c>
      <c r="AC207" s="173">
        <f>AB207/F207</f>
        <v>134.28486277268291</v>
      </c>
      <c r="AD207" s="74"/>
    </row>
    <row r="209" spans="1:32" x14ac:dyDescent="0.15">
      <c r="A209" s="57" t="s">
        <v>201</v>
      </c>
    </row>
    <row r="211" spans="1:32" ht="16" x14ac:dyDescent="0.15">
      <c r="A211" s="2">
        <v>1</v>
      </c>
      <c r="B211" s="17" t="s">
        <v>62</v>
      </c>
      <c r="C211" s="18" t="s">
        <v>25</v>
      </c>
      <c r="D211" s="17" t="s">
        <v>26</v>
      </c>
      <c r="E211" s="3">
        <v>1992</v>
      </c>
      <c r="F211" s="3">
        <v>11500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1160000</v>
      </c>
      <c r="Q211" s="22">
        <v>78532</v>
      </c>
      <c r="R211" s="23">
        <v>116</v>
      </c>
      <c r="S211" s="24">
        <v>0</v>
      </c>
      <c r="T211" s="24">
        <v>0</v>
      </c>
      <c r="U211" s="24">
        <v>0</v>
      </c>
      <c r="V211" s="25">
        <v>831874</v>
      </c>
      <c r="W211" s="25">
        <v>111304.7412</v>
      </c>
      <c r="X211" s="26">
        <v>149.73732000000001</v>
      </c>
      <c r="Y211" s="25">
        <v>1991874</v>
      </c>
      <c r="Z211" s="25">
        <v>189836.74119999999</v>
      </c>
      <c r="AA211" s="25">
        <v>265.73732000000001</v>
      </c>
      <c r="AB211" s="37">
        <v>3306234.92</v>
      </c>
      <c r="AC211" s="28">
        <v>287.49868869565222</v>
      </c>
    </row>
    <row r="213" spans="1:32" x14ac:dyDescent="0.15">
      <c r="A213" s="57" t="s">
        <v>202</v>
      </c>
    </row>
    <row r="215" spans="1:32" ht="14" customHeight="1" x14ac:dyDescent="0.15">
      <c r="A215" s="2">
        <v>7</v>
      </c>
      <c r="B215" s="65" t="s">
        <v>62</v>
      </c>
      <c r="C215" s="66" t="s">
        <v>74</v>
      </c>
      <c r="D215" s="65" t="s">
        <v>75</v>
      </c>
      <c r="E215" s="67">
        <v>1986</v>
      </c>
      <c r="F215" s="67">
        <v>2587</v>
      </c>
      <c r="G215" s="68">
        <v>481271.26938895416</v>
      </c>
      <c r="H215" s="68">
        <v>622295.96122209157</v>
      </c>
      <c r="I215" s="68">
        <v>417497.21210340771</v>
      </c>
      <c r="J215" s="68">
        <f t="shared" ref="J215" si="59">(G215+H215+I215)/3</f>
        <v>507021.48090481787</v>
      </c>
      <c r="K215" s="68">
        <f t="shared" ref="K215" si="60">J215*0.057</f>
        <v>28900.224411574618</v>
      </c>
      <c r="L215" s="68">
        <f t="shared" ref="L215" si="61">J215*230/1000000</f>
        <v>116.6149406081081</v>
      </c>
      <c r="M215" s="68">
        <v>0</v>
      </c>
      <c r="N215" s="68">
        <v>0</v>
      </c>
      <c r="O215" s="68">
        <v>0</v>
      </c>
      <c r="P215" s="68">
        <f t="shared" ref="P215" si="62">(M215+N215+O215)/3</f>
        <v>0</v>
      </c>
      <c r="Q215" s="68">
        <f t="shared" ref="Q215" si="63">P215*0.0677</f>
        <v>0</v>
      </c>
      <c r="R215" s="69">
        <f t="shared" ref="R215" si="64">P215*(100/1000000)</f>
        <v>0</v>
      </c>
      <c r="S215" s="68">
        <v>114703.95564042302</v>
      </c>
      <c r="T215" s="68">
        <v>57969.229142185664</v>
      </c>
      <c r="U215" s="68">
        <v>109412.96739130434</v>
      </c>
      <c r="V215" s="68">
        <f t="shared" ref="V215" si="65">(S215+T215+U215)/3</f>
        <v>94028.717391304337</v>
      </c>
      <c r="W215" s="68">
        <f t="shared" ref="W215" si="66">V215*0.1338</f>
        <v>12581.04238695652</v>
      </c>
      <c r="X215" s="69">
        <f t="shared" ref="X215" si="67">V215*(180/1000000)</f>
        <v>16.925169130434782</v>
      </c>
      <c r="Y215" s="68">
        <f t="shared" ref="Y215" si="68">J215+P215+V215</f>
        <v>601050.19829612225</v>
      </c>
      <c r="Z215" s="68">
        <f t="shared" ref="Z215" si="69">K215+Q215+W215</f>
        <v>41481.266798531142</v>
      </c>
      <c r="AA215" s="69">
        <f t="shared" ref="AA215" si="70">L215+R215+X215</f>
        <v>133.54010973854287</v>
      </c>
      <c r="AB215" s="176">
        <f t="shared" ref="AB215" si="71">J215+P215+2.58*V215</f>
        <v>749615.57177438308</v>
      </c>
      <c r="AC215" s="73">
        <f t="shared" ref="AC215" si="72">AB215/F215</f>
        <v>289.76249392129228</v>
      </c>
      <c r="AD215" s="74"/>
      <c r="AE215" s="74"/>
      <c r="AF215" s="74"/>
    </row>
    <row r="216" spans="1:32" ht="14" customHeight="1" x14ac:dyDescent="0.15">
      <c r="A216" s="103">
        <v>22</v>
      </c>
      <c r="B216" s="65" t="s">
        <v>71</v>
      </c>
      <c r="C216" s="66" t="s">
        <v>80</v>
      </c>
      <c r="D216" s="65" t="s">
        <v>81</v>
      </c>
      <c r="E216" s="67">
        <v>1987</v>
      </c>
      <c r="F216" s="67">
        <v>2936</v>
      </c>
      <c r="G216" s="68">
        <v>219571</v>
      </c>
      <c r="H216" s="68">
        <v>257668</v>
      </c>
      <c r="I216" s="68">
        <v>327519</v>
      </c>
      <c r="J216" s="68">
        <f>(G216+H216+I216)/3</f>
        <v>268252.66666666669</v>
      </c>
      <c r="K216" s="68">
        <f>J216*0.057</f>
        <v>15290.402000000002</v>
      </c>
      <c r="L216" s="68">
        <f>J216*230/1000000</f>
        <v>61.698113333333339</v>
      </c>
      <c r="M216" s="68">
        <v>0</v>
      </c>
      <c r="N216" s="68">
        <v>0</v>
      </c>
      <c r="O216" s="68">
        <v>0</v>
      </c>
      <c r="P216" s="68">
        <f>(M216+N216+O216)/3</f>
        <v>0</v>
      </c>
      <c r="Q216" s="68">
        <f>P216*0.0677</f>
        <v>0</v>
      </c>
      <c r="R216" s="69">
        <f>P216*(100/1000000)</f>
        <v>0</v>
      </c>
      <c r="S216" s="68">
        <v>88737</v>
      </c>
      <c r="T216" s="68">
        <v>42681</v>
      </c>
      <c r="U216" s="68">
        <v>93619</v>
      </c>
      <c r="V216" s="68">
        <f>(S216+T216+U216)/3</f>
        <v>75012.333333333328</v>
      </c>
      <c r="W216" s="68">
        <f>V216*0.1338</f>
        <v>10036.6502</v>
      </c>
      <c r="X216" s="69">
        <f>V216*(180/1000000)</f>
        <v>13.502219999999999</v>
      </c>
      <c r="Y216" s="68">
        <f>J216+P216+V216</f>
        <v>343265</v>
      </c>
      <c r="Z216" s="68">
        <f>K216+Q216+W216</f>
        <v>25327.052200000002</v>
      </c>
      <c r="AA216" s="69">
        <f>L216+R216+X216</f>
        <v>75.200333333333333</v>
      </c>
      <c r="AB216" s="176">
        <f>J216+P216+2.58*V216</f>
        <v>461784.48666666669</v>
      </c>
      <c r="AC216" s="73">
        <f>AB216/F216</f>
        <v>157.28354450499546</v>
      </c>
      <c r="AD216" s="74"/>
      <c r="AE216" s="74"/>
      <c r="AF216" s="74"/>
    </row>
    <row r="218" spans="1:32" x14ac:dyDescent="0.15">
      <c r="A218" s="57" t="s">
        <v>203</v>
      </c>
    </row>
    <row r="220" spans="1:32" ht="16" x14ac:dyDescent="0.15">
      <c r="A220" s="1">
        <v>13</v>
      </c>
      <c r="B220" s="76"/>
      <c r="C220" s="77" t="s">
        <v>78</v>
      </c>
      <c r="D220" s="76" t="s">
        <v>79</v>
      </c>
      <c r="E220" s="75">
        <v>1999</v>
      </c>
      <c r="F220" s="75">
        <v>3059</v>
      </c>
      <c r="G220" s="78">
        <v>175992</v>
      </c>
      <c r="H220" s="78">
        <v>294180</v>
      </c>
      <c r="I220" s="78">
        <v>267431</v>
      </c>
      <c r="J220" s="79">
        <f>(G220+H220+I220)/3</f>
        <v>245867.66666666666</v>
      </c>
      <c r="K220" s="79">
        <f>J220*0.057</f>
        <v>14014.457</v>
      </c>
      <c r="L220" s="79">
        <f>J220*230/1000000</f>
        <v>56.549563333333332</v>
      </c>
      <c r="M220" s="79">
        <v>0</v>
      </c>
      <c r="N220" s="79">
        <v>0</v>
      </c>
      <c r="O220" s="79">
        <v>0</v>
      </c>
      <c r="P220" s="79">
        <f>(M220+N220+O220)/3</f>
        <v>0</v>
      </c>
      <c r="Q220" s="79">
        <f>P220*0.0677</f>
        <v>0</v>
      </c>
      <c r="R220" s="80">
        <f>P220*(100/1000000)</f>
        <v>0</v>
      </c>
      <c r="S220" s="81">
        <v>209912</v>
      </c>
      <c r="T220" s="81">
        <v>138661</v>
      </c>
      <c r="U220" s="81">
        <v>181627</v>
      </c>
      <c r="V220" s="82">
        <f>(S220+T220+U220)/3</f>
        <v>176733.33333333334</v>
      </c>
      <c r="W220" s="82">
        <f>V220*0.1338</f>
        <v>23646.920000000002</v>
      </c>
      <c r="X220" s="83">
        <f>V220*(180/1000000)</f>
        <v>31.812000000000005</v>
      </c>
      <c r="Y220" s="82">
        <f t="shared" ref="Y220:Y223" si="73">J220+P220+V220</f>
        <v>422601</v>
      </c>
      <c r="Z220" s="82">
        <f t="shared" ref="Z220:Z223" si="74">K220+Q220+W220</f>
        <v>37661.377</v>
      </c>
      <c r="AA220" s="83">
        <f t="shared" ref="AA220:AA223" si="75">L220+R220+X220</f>
        <v>88.361563333333336</v>
      </c>
      <c r="AB220" s="47">
        <f>J220+P220+2.58*V220</f>
        <v>701839.66666666674</v>
      </c>
      <c r="AC220" s="84">
        <f>AB220/F220</f>
        <v>229.43434673640627</v>
      </c>
    </row>
    <row r="221" spans="1:32" ht="14" x14ac:dyDescent="0.15">
      <c r="A221" s="103">
        <v>26</v>
      </c>
      <c r="B221" s="76" t="s">
        <v>66</v>
      </c>
      <c r="C221" s="77" t="s">
        <v>84</v>
      </c>
      <c r="D221" s="76" t="s">
        <v>5</v>
      </c>
      <c r="E221" s="75">
        <v>1995</v>
      </c>
      <c r="F221" s="75">
        <v>2008</v>
      </c>
      <c r="G221" s="79">
        <v>326395</v>
      </c>
      <c r="H221" s="79">
        <v>312551</v>
      </c>
      <c r="I221" s="79">
        <v>248044</v>
      </c>
      <c r="J221" s="79">
        <f>(G221+H221+I221)/3</f>
        <v>295663.33333333331</v>
      </c>
      <c r="K221" s="79">
        <f>J221*0.057</f>
        <v>16852.810000000001</v>
      </c>
      <c r="L221" s="79">
        <f>J221*230/1000000</f>
        <v>68.002566666666652</v>
      </c>
      <c r="M221" s="79">
        <v>0</v>
      </c>
      <c r="N221" s="79">
        <v>0</v>
      </c>
      <c r="O221" s="79">
        <v>0</v>
      </c>
      <c r="P221" s="79">
        <f>(M221+N221+O221)/3</f>
        <v>0</v>
      </c>
      <c r="Q221" s="79">
        <f>P221*0.0677</f>
        <v>0</v>
      </c>
      <c r="R221" s="80">
        <f>P221*(100/1000000)</f>
        <v>0</v>
      </c>
      <c r="S221" s="85">
        <v>44832</v>
      </c>
      <c r="T221" s="85">
        <v>18611</v>
      </c>
      <c r="U221" s="85">
        <v>31486</v>
      </c>
      <c r="V221" s="82">
        <f>(S221+T221+U221)/3</f>
        <v>31643</v>
      </c>
      <c r="W221" s="82">
        <f>V221*0.1338</f>
        <v>4233.8334000000004</v>
      </c>
      <c r="X221" s="83">
        <f>V221*(180/1000000)</f>
        <v>5.6957400000000007</v>
      </c>
      <c r="Y221" s="82">
        <f t="shared" si="73"/>
        <v>327306.33333333331</v>
      </c>
      <c r="Z221" s="82">
        <f t="shared" si="74"/>
        <v>21086.643400000001</v>
      </c>
      <c r="AA221" s="83">
        <f t="shared" si="75"/>
        <v>73.698306666666653</v>
      </c>
      <c r="AB221" s="47">
        <f>J221+P221+2.58*V221</f>
        <v>377302.27333333332</v>
      </c>
      <c r="AC221" s="84">
        <f>AB221/F221</f>
        <v>187.8995385126162</v>
      </c>
    </row>
    <row r="222" spans="1:32" ht="14" x14ac:dyDescent="0.15">
      <c r="A222" s="2">
        <v>5</v>
      </c>
      <c r="B222" s="76" t="s">
        <v>71</v>
      </c>
      <c r="C222" s="77" t="s">
        <v>72</v>
      </c>
      <c r="D222" s="76" t="s">
        <v>73</v>
      </c>
      <c r="E222" s="75">
        <v>2001</v>
      </c>
      <c r="F222" s="75">
        <v>6288</v>
      </c>
      <c r="G222" s="79">
        <v>520665</v>
      </c>
      <c r="H222" s="79">
        <v>536746</v>
      </c>
      <c r="I222" s="79">
        <v>340883</v>
      </c>
      <c r="J222" s="79">
        <f>(G222+H222+I222)/3</f>
        <v>466098</v>
      </c>
      <c r="K222" s="79">
        <f>J222*0.057</f>
        <v>26567.585999999999</v>
      </c>
      <c r="L222" s="79">
        <f>J222*230/1000000</f>
        <v>107.20254</v>
      </c>
      <c r="M222" s="79">
        <v>0</v>
      </c>
      <c r="N222" s="79">
        <v>0</v>
      </c>
      <c r="O222" s="79">
        <v>0</v>
      </c>
      <c r="P222" s="79">
        <f>(M222+N222+O222)/3</f>
        <v>0</v>
      </c>
      <c r="Q222" s="79">
        <f>P222*0.0677</f>
        <v>0</v>
      </c>
      <c r="R222" s="80">
        <f>P222*(100/1000000)</f>
        <v>0</v>
      </c>
      <c r="S222" s="85">
        <v>232151</v>
      </c>
      <c r="T222" s="85">
        <v>110188</v>
      </c>
      <c r="U222" s="85">
        <v>149585</v>
      </c>
      <c r="V222" s="82">
        <f>(S222+T222+U222)/3</f>
        <v>163974.66666666666</v>
      </c>
      <c r="W222" s="82">
        <f>V222*0.1338</f>
        <v>21939.810399999998</v>
      </c>
      <c r="X222" s="83">
        <f>V222*(180/1000000)</f>
        <v>29.515440000000002</v>
      </c>
      <c r="Y222" s="82">
        <f t="shared" si="73"/>
        <v>630072.66666666663</v>
      </c>
      <c r="Z222" s="82">
        <f t="shared" si="74"/>
        <v>48507.396399999998</v>
      </c>
      <c r="AA222" s="83">
        <f t="shared" si="75"/>
        <v>136.71798000000001</v>
      </c>
      <c r="AB222" s="47">
        <f>J222+P222+2.58*V222</f>
        <v>889152.64</v>
      </c>
      <c r="AC222" s="84">
        <f>AB222/F222</f>
        <v>141.40468193384226</v>
      </c>
    </row>
    <row r="223" spans="1:32" ht="14" x14ac:dyDescent="0.15">
      <c r="A223" s="67">
        <v>38</v>
      </c>
      <c r="B223" s="65" t="s">
        <v>8</v>
      </c>
      <c r="C223" s="97" t="s">
        <v>124</v>
      </c>
      <c r="D223" s="65" t="s">
        <v>125</v>
      </c>
      <c r="E223" s="67">
        <v>1979</v>
      </c>
      <c r="F223" s="67">
        <v>1646</v>
      </c>
      <c r="G223" s="98">
        <v>0</v>
      </c>
      <c r="H223" s="98">
        <v>0</v>
      </c>
      <c r="I223" s="98">
        <v>0</v>
      </c>
      <c r="J223" s="98">
        <f>(G223+H223+I223)/3</f>
        <v>0</v>
      </c>
      <c r="K223" s="98">
        <f>J223*0.057</f>
        <v>0</v>
      </c>
      <c r="L223" s="98">
        <f>J223*230/1000000</f>
        <v>0</v>
      </c>
      <c r="M223" s="98">
        <v>153524.38565217186</v>
      </c>
      <c r="N223" s="98">
        <v>146264.76520500131</v>
      </c>
      <c r="O223" s="98">
        <v>144266.63375354843</v>
      </c>
      <c r="P223" s="98">
        <f>(M223+N223+O223)/3</f>
        <v>148018.59487024051</v>
      </c>
      <c r="Q223" s="98">
        <f>P223*0.0677</f>
        <v>10020.858872715282</v>
      </c>
      <c r="R223" s="99">
        <f>P223*(100/1000000)</f>
        <v>14.801859487024052</v>
      </c>
      <c r="S223" s="98">
        <v>94150</v>
      </c>
      <c r="T223" s="98">
        <v>49547</v>
      </c>
      <c r="U223" s="98">
        <v>88135</v>
      </c>
      <c r="V223" s="100">
        <f>(S223+T223+U223)/3</f>
        <v>77277.333333333328</v>
      </c>
      <c r="W223" s="100">
        <f>V223*0.1338</f>
        <v>10339.707199999999</v>
      </c>
      <c r="X223" s="101">
        <f>V223*(180/1000000)</f>
        <v>13.90992</v>
      </c>
      <c r="Y223" s="100">
        <f t="shared" si="73"/>
        <v>225295.92820357386</v>
      </c>
      <c r="Z223" s="100">
        <f t="shared" si="74"/>
        <v>20360.566072715279</v>
      </c>
      <c r="AA223" s="101">
        <f t="shared" si="75"/>
        <v>28.711779487024053</v>
      </c>
      <c r="AB223" s="37">
        <f>J223+P223+2.58*V223</f>
        <v>347394.1148702405</v>
      </c>
      <c r="AC223" s="73">
        <f>AB223/F223</f>
        <v>211.05353272797115</v>
      </c>
    </row>
    <row r="224" spans="1:32" ht="14" x14ac:dyDescent="0.15">
      <c r="A224" s="1">
        <v>14</v>
      </c>
      <c r="B224" s="76" t="s">
        <v>71</v>
      </c>
      <c r="C224" s="77" t="s">
        <v>82</v>
      </c>
      <c r="D224" s="76" t="s">
        <v>83</v>
      </c>
      <c r="E224" s="75">
        <v>1987</v>
      </c>
      <c r="F224" s="75">
        <v>4060</v>
      </c>
      <c r="G224" s="79">
        <v>0</v>
      </c>
      <c r="H224" s="79">
        <v>0</v>
      </c>
      <c r="I224" s="79">
        <v>0</v>
      </c>
      <c r="J224" s="79">
        <f t="shared" ref="J224:J230" si="76">(G224+H224+I224)/3</f>
        <v>0</v>
      </c>
      <c r="K224" s="79">
        <f t="shared" ref="K224:K230" si="77">J224*0.057</f>
        <v>0</v>
      </c>
      <c r="L224" s="79">
        <f t="shared" ref="L224:L230" si="78">J224*230/1000000</f>
        <v>0</v>
      </c>
      <c r="M224" s="79">
        <v>0</v>
      </c>
      <c r="N224" s="79">
        <v>0</v>
      </c>
      <c r="O224" s="79">
        <v>0</v>
      </c>
      <c r="P224" s="79">
        <f t="shared" ref="P224:P230" si="79">(M224+N224+O224)/3</f>
        <v>0</v>
      </c>
      <c r="Q224" s="79">
        <f t="shared" ref="Q224:Q230" si="80">P224*0.0677</f>
        <v>0</v>
      </c>
      <c r="R224" s="80">
        <f t="shared" ref="R224:R230" si="81">P224*(100/1000000)</f>
        <v>0</v>
      </c>
      <c r="S224" s="85">
        <v>538415.3028229255</v>
      </c>
      <c r="T224" s="85">
        <v>301850.10136869119</v>
      </c>
      <c r="U224" s="85">
        <v>401766.07570573135</v>
      </c>
      <c r="V224" s="82">
        <f t="shared" ref="V224:V230" si="82">(S224+T224+U224)/3</f>
        <v>414010.49329911597</v>
      </c>
      <c r="W224" s="82">
        <f t="shared" ref="W224:W230" si="83">V224*0.1338</f>
        <v>55394.604003421715</v>
      </c>
      <c r="X224" s="83">
        <f t="shared" ref="X224:X230" si="84">V224*(180/1000000)</f>
        <v>74.521888793840887</v>
      </c>
      <c r="Y224" s="82">
        <f t="shared" ref="Y224:Y230" si="85">J224+P224+V224</f>
        <v>414010.49329911597</v>
      </c>
      <c r="Z224" s="82">
        <f t="shared" ref="Z224:Z230" si="86">K224+Q224+W224</f>
        <v>55394.604003421715</v>
      </c>
      <c r="AA224" s="83">
        <f t="shared" ref="AA224:AA230" si="87">L224+R224+X224</f>
        <v>74.521888793840887</v>
      </c>
      <c r="AB224" s="47">
        <f t="shared" ref="AB224:AB230" si="88">J224+P224+2.58*V224</f>
        <v>1068147.0727117192</v>
      </c>
      <c r="AC224" s="84">
        <f t="shared" ref="AC224:AC230" si="89">AB224/F224</f>
        <v>263.09041199796042</v>
      </c>
    </row>
    <row r="225" spans="1:29" ht="14" x14ac:dyDescent="0.15">
      <c r="A225" s="2">
        <v>9</v>
      </c>
      <c r="B225" s="76" t="s">
        <v>8</v>
      </c>
      <c r="C225" s="77" t="s">
        <v>9</v>
      </c>
      <c r="D225" s="76" t="s">
        <v>10</v>
      </c>
      <c r="E225" s="75">
        <v>1978</v>
      </c>
      <c r="F225" s="75">
        <v>2958</v>
      </c>
      <c r="G225" s="79">
        <v>0</v>
      </c>
      <c r="H225" s="79">
        <v>0</v>
      </c>
      <c r="I225" s="79">
        <v>0</v>
      </c>
      <c r="J225" s="79">
        <f t="shared" si="76"/>
        <v>0</v>
      </c>
      <c r="K225" s="79">
        <f t="shared" si="77"/>
        <v>0</v>
      </c>
      <c r="L225" s="79">
        <f t="shared" si="78"/>
        <v>0</v>
      </c>
      <c r="M225" s="79">
        <v>520909.70846306253</v>
      </c>
      <c r="N225" s="79">
        <v>471551.08972544578</v>
      </c>
      <c r="O225" s="79">
        <v>497437.92244551372</v>
      </c>
      <c r="P225" s="79">
        <f t="shared" si="79"/>
        <v>496632.90687800734</v>
      </c>
      <c r="Q225" s="79">
        <f t="shared" si="80"/>
        <v>33622.047795641098</v>
      </c>
      <c r="R225" s="80">
        <f t="shared" si="81"/>
        <v>49.663290687800739</v>
      </c>
      <c r="S225" s="85">
        <v>87147</v>
      </c>
      <c r="T225" s="85">
        <v>41830</v>
      </c>
      <c r="U225" s="85">
        <v>78395</v>
      </c>
      <c r="V225" s="82">
        <f t="shared" si="82"/>
        <v>69124</v>
      </c>
      <c r="W225" s="82">
        <f t="shared" si="83"/>
        <v>9248.7911999999997</v>
      </c>
      <c r="X225" s="83">
        <f t="shared" si="84"/>
        <v>12.44232</v>
      </c>
      <c r="Y225" s="82">
        <f t="shared" si="85"/>
        <v>565756.90687800734</v>
      </c>
      <c r="Z225" s="82">
        <f t="shared" si="86"/>
        <v>42870.838995641097</v>
      </c>
      <c r="AA225" s="83">
        <f t="shared" si="87"/>
        <v>62.105610687800741</v>
      </c>
      <c r="AB225" s="47">
        <f t="shared" si="88"/>
        <v>674972.82687800738</v>
      </c>
      <c r="AC225" s="84">
        <f t="shared" si="89"/>
        <v>228.18553985057721</v>
      </c>
    </row>
    <row r="226" spans="1:29" ht="14" x14ac:dyDescent="0.15">
      <c r="A226" s="103">
        <v>25</v>
      </c>
      <c r="B226" s="76" t="s">
        <v>18</v>
      </c>
      <c r="C226" s="77" t="s">
        <v>19</v>
      </c>
      <c r="D226" s="76" t="s">
        <v>20</v>
      </c>
      <c r="E226" s="75">
        <v>1975</v>
      </c>
      <c r="F226" s="75">
        <v>2508</v>
      </c>
      <c r="G226" s="79">
        <v>0</v>
      </c>
      <c r="H226" s="79">
        <v>0</v>
      </c>
      <c r="I226" s="79">
        <v>0</v>
      </c>
      <c r="J226" s="79">
        <f t="shared" si="76"/>
        <v>0</v>
      </c>
      <c r="K226" s="79">
        <f t="shared" si="77"/>
        <v>0</v>
      </c>
      <c r="L226" s="79">
        <f t="shared" si="78"/>
        <v>0</v>
      </c>
      <c r="M226" s="79">
        <v>290485.30153795</v>
      </c>
      <c r="N226" s="79">
        <v>204640.39153121255</v>
      </c>
      <c r="O226" s="79">
        <v>275354.05224888364</v>
      </c>
      <c r="P226" s="79">
        <f t="shared" si="79"/>
        <v>256826.58177268205</v>
      </c>
      <c r="Q226" s="79">
        <f t="shared" si="80"/>
        <v>17387.159586010574</v>
      </c>
      <c r="R226" s="80">
        <f t="shared" si="81"/>
        <v>25.682658177268205</v>
      </c>
      <c r="S226" s="85">
        <v>96869</v>
      </c>
      <c r="T226" s="85">
        <v>50412</v>
      </c>
      <c r="U226" s="85">
        <v>90734</v>
      </c>
      <c r="V226" s="82">
        <f t="shared" si="82"/>
        <v>79338.333333333328</v>
      </c>
      <c r="W226" s="82">
        <f t="shared" si="83"/>
        <v>10615.468999999999</v>
      </c>
      <c r="X226" s="83">
        <f t="shared" si="84"/>
        <v>14.280900000000001</v>
      </c>
      <c r="Y226" s="82">
        <f t="shared" si="85"/>
        <v>336164.9151060154</v>
      </c>
      <c r="Z226" s="82">
        <f t="shared" si="86"/>
        <v>28002.628586010571</v>
      </c>
      <c r="AA226" s="83">
        <f t="shared" si="87"/>
        <v>39.963558177268204</v>
      </c>
      <c r="AB226" s="47">
        <f t="shared" si="88"/>
        <v>461519.48177268205</v>
      </c>
      <c r="AC226" s="84">
        <f t="shared" si="89"/>
        <v>184.01893212626877</v>
      </c>
    </row>
    <row r="227" spans="1:29" ht="15" x14ac:dyDescent="0.2">
      <c r="A227" s="2">
        <v>4</v>
      </c>
      <c r="B227" s="76" t="s">
        <v>66</v>
      </c>
      <c r="C227" s="77" t="s">
        <v>69</v>
      </c>
      <c r="D227" s="76" t="s">
        <v>70</v>
      </c>
      <c r="E227" s="75">
        <v>2007</v>
      </c>
      <c r="F227" s="75">
        <v>3529</v>
      </c>
      <c r="G227" s="79">
        <v>444067</v>
      </c>
      <c r="H227" s="79">
        <v>555926</v>
      </c>
      <c r="I227" s="79">
        <v>631465</v>
      </c>
      <c r="J227" s="79">
        <f t="shared" si="76"/>
        <v>543819.33333333337</v>
      </c>
      <c r="K227" s="79">
        <f t="shared" si="77"/>
        <v>30997.702000000005</v>
      </c>
      <c r="L227" s="79">
        <f t="shared" si="78"/>
        <v>125.07844666666666</v>
      </c>
      <c r="M227" s="79">
        <v>0</v>
      </c>
      <c r="N227" s="79">
        <v>0</v>
      </c>
      <c r="O227" s="79">
        <v>0</v>
      </c>
      <c r="P227" s="79">
        <f t="shared" si="79"/>
        <v>0</v>
      </c>
      <c r="Q227" s="79">
        <f t="shared" si="80"/>
        <v>0</v>
      </c>
      <c r="R227" s="80">
        <f t="shared" si="81"/>
        <v>0</v>
      </c>
      <c r="S227" s="86">
        <v>122405</v>
      </c>
      <c r="T227" s="86">
        <v>58765</v>
      </c>
      <c r="U227" s="86">
        <v>104946</v>
      </c>
      <c r="V227" s="82">
        <f t="shared" si="82"/>
        <v>95372</v>
      </c>
      <c r="W227" s="82">
        <f t="shared" si="83"/>
        <v>12760.7736</v>
      </c>
      <c r="X227" s="83">
        <f t="shared" si="84"/>
        <v>17.16696</v>
      </c>
      <c r="Y227" s="82">
        <f t="shared" si="85"/>
        <v>639191.33333333337</v>
      </c>
      <c r="Z227" s="82">
        <f t="shared" si="86"/>
        <v>43758.475600000005</v>
      </c>
      <c r="AA227" s="83">
        <f t="shared" si="87"/>
        <v>142.24540666666667</v>
      </c>
      <c r="AB227" s="47">
        <f t="shared" si="88"/>
        <v>789879.09333333338</v>
      </c>
      <c r="AC227" s="84">
        <f t="shared" si="89"/>
        <v>223.82518938320584</v>
      </c>
    </row>
    <row r="228" spans="1:29" ht="14" x14ac:dyDescent="0.15">
      <c r="A228" s="1">
        <v>20</v>
      </c>
      <c r="B228" s="76" t="s">
        <v>63</v>
      </c>
      <c r="C228" s="77" t="s">
        <v>21</v>
      </c>
      <c r="D228" s="76" t="s">
        <v>22</v>
      </c>
      <c r="E228" s="75">
        <v>1980</v>
      </c>
      <c r="F228" s="75">
        <v>2439</v>
      </c>
      <c r="G228" s="79">
        <v>0</v>
      </c>
      <c r="H228" s="79">
        <v>0</v>
      </c>
      <c r="I228" s="79">
        <v>0</v>
      </c>
      <c r="J228" s="79">
        <f t="shared" si="76"/>
        <v>0</v>
      </c>
      <c r="K228" s="79">
        <f t="shared" si="77"/>
        <v>0</v>
      </c>
      <c r="L228" s="79">
        <f t="shared" si="78"/>
        <v>0</v>
      </c>
      <c r="M228" s="79">
        <v>273000.00000000041</v>
      </c>
      <c r="N228" s="79">
        <v>254000</v>
      </c>
      <c r="O228" s="79">
        <v>324370.00000000017</v>
      </c>
      <c r="P228" s="79">
        <f t="shared" si="79"/>
        <v>283790.00000000023</v>
      </c>
      <c r="Q228" s="79">
        <f t="shared" si="80"/>
        <v>19212.583000000013</v>
      </c>
      <c r="R228" s="80">
        <f t="shared" si="81"/>
        <v>28.379000000000026</v>
      </c>
      <c r="S228" s="85">
        <v>74407</v>
      </c>
      <c r="T228" s="85">
        <v>37749</v>
      </c>
      <c r="U228" s="85">
        <v>79601</v>
      </c>
      <c r="V228" s="82">
        <f t="shared" si="82"/>
        <v>63919</v>
      </c>
      <c r="W228" s="82">
        <f t="shared" si="83"/>
        <v>8552.3621999999996</v>
      </c>
      <c r="X228" s="83">
        <f t="shared" si="84"/>
        <v>11.505420000000001</v>
      </c>
      <c r="Y228" s="82">
        <f t="shared" si="85"/>
        <v>347709.00000000023</v>
      </c>
      <c r="Z228" s="82">
        <f t="shared" si="86"/>
        <v>27764.945200000013</v>
      </c>
      <c r="AA228" s="83">
        <f t="shared" si="87"/>
        <v>39.884420000000027</v>
      </c>
      <c r="AB228" s="47">
        <f t="shared" si="88"/>
        <v>448701.02000000025</v>
      </c>
      <c r="AC228" s="84">
        <f t="shared" si="89"/>
        <v>183.96925789257904</v>
      </c>
    </row>
    <row r="229" spans="1:29" ht="14" x14ac:dyDescent="0.15">
      <c r="A229" s="75">
        <v>35</v>
      </c>
      <c r="B229" s="76" t="s">
        <v>8</v>
      </c>
      <c r="C229" s="87" t="s">
        <v>119</v>
      </c>
      <c r="D229" s="76" t="s">
        <v>120</v>
      </c>
      <c r="E229" s="75">
        <v>1978</v>
      </c>
      <c r="F229" s="75">
        <v>2871</v>
      </c>
      <c r="G229" s="88">
        <v>0</v>
      </c>
      <c r="H229" s="88">
        <v>0</v>
      </c>
      <c r="I229" s="88">
        <v>0</v>
      </c>
      <c r="J229" s="88">
        <f t="shared" si="76"/>
        <v>0</v>
      </c>
      <c r="K229" s="88">
        <f t="shared" si="77"/>
        <v>0</v>
      </c>
      <c r="L229" s="88">
        <f t="shared" si="78"/>
        <v>0</v>
      </c>
      <c r="M229" s="88">
        <v>226221.17432309096</v>
      </c>
      <c r="N229" s="88">
        <v>197397.62701551567</v>
      </c>
      <c r="O229" s="88">
        <v>132448.56708244598</v>
      </c>
      <c r="P229" s="88">
        <f t="shared" si="79"/>
        <v>185355.78947368418</v>
      </c>
      <c r="Q229" s="88">
        <f t="shared" si="80"/>
        <v>12548.586947368418</v>
      </c>
      <c r="R229" s="89">
        <f t="shared" si="81"/>
        <v>18.535578947368418</v>
      </c>
      <c r="S229" s="88">
        <v>89747</v>
      </c>
      <c r="T229" s="88">
        <v>44713</v>
      </c>
      <c r="U229" s="88">
        <v>81552</v>
      </c>
      <c r="V229" s="90">
        <f t="shared" si="82"/>
        <v>72004</v>
      </c>
      <c r="W229" s="90">
        <f t="shared" si="83"/>
        <v>9634.1352000000006</v>
      </c>
      <c r="X229" s="91">
        <f t="shared" si="84"/>
        <v>12.96072</v>
      </c>
      <c r="Y229" s="90">
        <f t="shared" si="85"/>
        <v>257359.78947368418</v>
      </c>
      <c r="Z229" s="90">
        <f t="shared" si="86"/>
        <v>22182.722147368419</v>
      </c>
      <c r="AA229" s="91">
        <f t="shared" si="87"/>
        <v>31.496298947368416</v>
      </c>
      <c r="AB229" s="92">
        <f t="shared" si="88"/>
        <v>371126.10947368422</v>
      </c>
      <c r="AC229" s="84">
        <f t="shared" si="89"/>
        <v>129.2671924324919</v>
      </c>
    </row>
    <row r="230" spans="1:29" ht="14" x14ac:dyDescent="0.15">
      <c r="A230" s="2">
        <v>3</v>
      </c>
      <c r="B230" s="65" t="s">
        <v>63</v>
      </c>
      <c r="C230" s="66" t="s">
        <v>64</v>
      </c>
      <c r="D230" s="65" t="s">
        <v>65</v>
      </c>
      <c r="E230" s="67">
        <v>1984</v>
      </c>
      <c r="F230" s="67">
        <v>4364</v>
      </c>
      <c r="G230" s="68">
        <v>580125</v>
      </c>
      <c r="H230" s="68">
        <v>696608</v>
      </c>
      <c r="I230" s="68">
        <v>522357</v>
      </c>
      <c r="J230" s="68">
        <f t="shared" si="76"/>
        <v>599696.66666666663</v>
      </c>
      <c r="K230" s="68">
        <f t="shared" si="77"/>
        <v>34182.71</v>
      </c>
      <c r="L230" s="68">
        <f t="shared" si="78"/>
        <v>137.93023333333332</v>
      </c>
      <c r="M230" s="68">
        <v>0</v>
      </c>
      <c r="N230" s="68">
        <v>0</v>
      </c>
      <c r="O230" s="68">
        <v>0</v>
      </c>
      <c r="P230" s="68">
        <f t="shared" si="79"/>
        <v>0</v>
      </c>
      <c r="Q230" s="68">
        <f t="shared" si="80"/>
        <v>0</v>
      </c>
      <c r="R230" s="69">
        <f t="shared" si="81"/>
        <v>0</v>
      </c>
      <c r="S230" s="68">
        <v>87568</v>
      </c>
      <c r="T230" s="68">
        <v>50958</v>
      </c>
      <c r="U230" s="68">
        <v>126332</v>
      </c>
      <c r="V230" s="70">
        <f t="shared" si="82"/>
        <v>88286</v>
      </c>
      <c r="W230" s="70">
        <f t="shared" si="83"/>
        <v>11812.666800000001</v>
      </c>
      <c r="X230" s="71">
        <f t="shared" si="84"/>
        <v>15.891480000000001</v>
      </c>
      <c r="Y230" s="70">
        <f t="shared" si="85"/>
        <v>687982.66666666663</v>
      </c>
      <c r="Z230" s="70">
        <f t="shared" si="86"/>
        <v>45995.376799999998</v>
      </c>
      <c r="AA230" s="71">
        <f t="shared" si="87"/>
        <v>153.82171333333332</v>
      </c>
      <c r="AB230" s="72">
        <f t="shared" si="88"/>
        <v>827474.54666666663</v>
      </c>
      <c r="AC230" s="73">
        <f t="shared" si="89"/>
        <v>189.61378246257254</v>
      </c>
    </row>
    <row r="232" spans="1:29" x14ac:dyDescent="0.15">
      <c r="A232" s="57" t="s">
        <v>204</v>
      </c>
    </row>
  </sheetData>
  <sortState xmlns:xlrd2="http://schemas.microsoft.com/office/spreadsheetml/2017/richdata2" ref="A4:AC23">
    <sortCondition ref="C5:C23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Vincent</dc:creator>
  <cp:lastModifiedBy>Microsoft Office User</cp:lastModifiedBy>
  <dcterms:created xsi:type="dcterms:W3CDTF">2023-06-07T14:04:26Z</dcterms:created>
  <dcterms:modified xsi:type="dcterms:W3CDTF">2023-07-24T14:17:44Z</dcterms:modified>
</cp:coreProperties>
</file>